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defaultThemeVersion="166925"/>
  <mc:AlternateContent xmlns:mc="http://schemas.openxmlformats.org/markup-compatibility/2006">
    <mc:Choice Requires="x15">
      <x15ac:absPath xmlns:x15ac="http://schemas.microsoft.com/office/spreadsheetml/2010/11/ac" url="O:\LenSpecSMU\OMI\Announcements\2025\Draft\2025-10-XX 3Q25 Operating Results\"/>
    </mc:Choice>
  </mc:AlternateContent>
  <xr:revisionPtr revIDLastSave="0" documentId="14_{4D65675C-CB3C-4C45-B220-C688F1C59E7A}" xr6:coauthVersionLast="36" xr6:coauthVersionMax="36" xr10:uidLastSave="{00000000-0000-0000-0000-000000000000}"/>
  <bookViews>
    <workbookView xWindow="-120" yWindow="-120" windowWidth="4620" windowHeight="10800" tabRatio="670" activeTab="2" xr2:uid="{8BED7D6A-33C6-46EF-A708-EB7D78F6E46A}"/>
  </bookViews>
  <sheets>
    <sheet name="Содержание" sheetId="8" r:id="rId1"/>
    <sheet name="Обзор" sheetId="1" r:id="rId2"/>
    <sheet name="Операционные результаты" sheetId="2" r:id="rId3"/>
    <sheet name="ОФР" sheetId="5" r:id="rId4"/>
    <sheet name="Балансовый отчет" sheetId="6" r:id="rId5"/>
    <sheet name="ОДДС" sheetId="7" r:id="rId6"/>
    <sheet name="Оценка активов 2024" sheetId="12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</externalReferences>
  <definedNames>
    <definedName name="_" hidden="1">#REF!</definedName>
    <definedName name="__________" hidden="1">#REF!</definedName>
    <definedName name="______________________" hidden="1">#REF!</definedName>
    <definedName name="_____________________________________wrn2" hidden="1">{"glc1",#N/A,FALSE,"GLC";"glc2",#N/A,FALSE,"GLC";"glc3",#N/A,FALSE,"GLC";"glc4",#N/A,FALSE,"GLC";"glc5",#N/A,FALSE,"GLC"}</definedName>
    <definedName name="____________________________________wrn2" hidden="1">{"glc1",#N/A,FALSE,"GLC";"glc2",#N/A,FALSE,"GLC";"glc3",#N/A,FALSE,"GLC";"glc4",#N/A,FALSE,"GLC";"glc5",#N/A,FALSE,"GLC"}</definedName>
    <definedName name="__________________________________RAC1" hidden="1">#REF!</definedName>
    <definedName name="__________________________________wrn2" hidden="1">{"glc1",#N/A,FALSE,"GLC";"glc2",#N/A,FALSE,"GLC";"glc3",#N/A,FALSE,"GLC";"glc4",#N/A,FALSE,"GLC";"glc5",#N/A,FALSE,"GLC"}</definedName>
    <definedName name="_________________________________RAC1" hidden="1">#REF!</definedName>
    <definedName name="_________________________________wrn2" hidden="1">{"glc1",#N/A,FALSE,"GLC";"glc2",#N/A,FALSE,"GLC";"glc3",#N/A,FALSE,"GLC";"glc4",#N/A,FALSE,"GLC";"glc5",#N/A,FALSE,"GLC"}</definedName>
    <definedName name="________________________________RAC1" hidden="1">#REF!</definedName>
    <definedName name="________________________________wrn2" hidden="1">{"glc1",#N/A,FALSE,"GLC";"glc2",#N/A,FALSE,"GLC";"glc3",#N/A,FALSE,"GLC";"glc4",#N/A,FALSE,"GLC";"glc5",#N/A,FALSE,"GLC"}</definedName>
    <definedName name="_______________________________RAC1" hidden="1">#REF!</definedName>
    <definedName name="_______________________________wrn1" hidden="1">{"glc1",#N/A,FALSE,"GLC";"glc2",#N/A,FALSE,"GLC";"glc3",#N/A,FALSE,"GLC";"glc4",#N/A,FALSE,"GLC";"glc5",#N/A,FALSE,"GLC"}</definedName>
    <definedName name="_______________________________wrn2" hidden="1">{"glc1",#N/A,FALSE,"GLC";"glc2",#N/A,FALSE,"GLC";"glc3",#N/A,FALSE,"GLC";"glc4",#N/A,FALSE,"GLC";"glc5",#N/A,FALSE,"GLC"}</definedName>
    <definedName name="______________________________c" hidden="1">{"ÜBERSICHT",#N/A,FALSE,"ABW KUM";"Kostenzoom",#N/A,FALSE,"ABW KUM";"ÜBERSICHT",#N/A,FALSE,"ABW HORE";"Kostenzoom",#N/A,FALSE,"ABW HORE"}</definedName>
    <definedName name="______________________________CF2" hidden="1">{"Output%",#N/A,FALSE,"Output"}</definedName>
    <definedName name="______________________________RAC1" hidden="1">#REF!</definedName>
    <definedName name="______________________________wrn1" hidden="1">{"glc1",#N/A,FALSE,"GLC";"glc2",#N/A,FALSE,"GLC";"glc3",#N/A,FALSE,"GLC";"glc4",#N/A,FALSE,"GLC";"glc5",#N/A,FALSE,"GLC"}</definedName>
    <definedName name="______________________________wrn2" hidden="1">{"glc1",#N/A,FALSE,"GLC";"glc2",#N/A,FALSE,"GLC";"glc3",#N/A,FALSE,"GLC";"glc4",#N/A,FALSE,"GLC";"glc5",#N/A,FALSE,"GLC"}</definedName>
    <definedName name="_____________________________c" hidden="1">{"ÜBERSICHT",#N/A,FALSE,"ABW KUM";"Kostenzoom",#N/A,FALSE,"ABW KUM";"ÜBERSICHT",#N/A,FALSE,"ABW HORE";"Kostenzoom",#N/A,FALSE,"ABW HORE"}</definedName>
    <definedName name="_____________________________CF2" hidden="1">{"Output%",#N/A,FALSE,"Output"}</definedName>
    <definedName name="_____________________________RAC1" hidden="1">#REF!</definedName>
    <definedName name="_____________________________wrn1" hidden="1">{"glc1",#N/A,FALSE,"GLC";"glc2",#N/A,FALSE,"GLC";"glc3",#N/A,FALSE,"GLC";"glc4",#N/A,FALSE,"GLC";"glc5",#N/A,FALSE,"GLC"}</definedName>
    <definedName name="_____________________________wrn2" hidden="1">{"glc1",#N/A,FALSE,"GLC";"glc2",#N/A,FALSE,"GLC";"glc3",#N/A,FALSE,"GLC";"glc4",#N/A,FALSE,"GLC";"glc5",#N/A,FALSE,"GLC"}</definedName>
    <definedName name="____________________________c" hidden="1">{"ÜBERSICHT",#N/A,FALSE,"ABW KUM";"Kostenzoom",#N/A,FALSE,"ABW KUM";"ÜBERSICHT",#N/A,FALSE,"ABW HORE";"Kostenzoom",#N/A,FALSE,"ABW HORE"}</definedName>
    <definedName name="____________________________CF2" hidden="1">{"Output%",#N/A,FALSE,"Output"}</definedName>
    <definedName name="____________________________RAC1" hidden="1">#REF!</definedName>
    <definedName name="____________________________rwn10" hidden="1">{#N/A,#N/A,FALSE,"Aging Summary";#N/A,#N/A,FALSE,"Ratio Analysis";#N/A,#N/A,FALSE,"Test 120 Day Accts";#N/A,#N/A,FALSE,"Tickmarks"}</definedName>
    <definedName name="____________________________rwn3" hidden="1">{"assets",#N/A,FALSE,"historicBS";"liab",#N/A,FALSE,"historicBS";"is",#N/A,FALSE,"historicIS";"ratios",#N/A,FALSE,"ratios"}</definedName>
    <definedName name="____________________________rwn4" hidden="1">{"assets",#N/A,FALSE,"historicBS";"liab",#N/A,FALSE,"historicBS";"is",#N/A,FALSE,"historicIS";"ratios",#N/A,FALSE,"ratios"}</definedName>
    <definedName name="____________________________rwn5" hidden="1">{"glcbs",#N/A,FALSE,"GLCBS";"glccsbs",#N/A,FALSE,"GLCCSBS";"glcis",#N/A,FALSE,"GLCIS";"glccsis",#N/A,FALSE,"GLCCSIS";"glcrat1",#N/A,FALSE,"GLC-ratios1"}</definedName>
    <definedName name="____________________________rwn6" hidden="1">{"glc1",#N/A,FALSE,"GLC";"glc2",#N/A,FALSE,"GLC";"glc3",#N/A,FALSE,"GLC";"glc4",#N/A,FALSE,"GLC";"glc5",#N/A,FALSE,"GLC"}</definedName>
    <definedName name="_______________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________rwn8" hidden="1">{"glc1",#N/A,FALSE,"GLC";"glc2",#N/A,FALSE,"GLC";"glc3",#N/A,FALSE,"GLC";"glc4",#N/A,FALSE,"GLC";"glc5",#N/A,FALSE,"GLC"}</definedName>
    <definedName name="_______________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________wrn2" hidden="1">{"glc1",#N/A,FALSE,"GLC";"glc2",#N/A,FALSE,"GLC";"glc3",#N/A,FALSE,"GLC";"glc4",#N/A,FALSE,"GLC";"glc5",#N/A,FALSE,"GLC"}</definedName>
    <definedName name="___________________________RAC1" hidden="1">#REF!</definedName>
    <definedName name="___________________________rwn1" hidden="1">{#N/A,#N/A,FALSE,"Aging Summary";#N/A,#N/A,FALSE,"Ratio Analysis";#N/A,#N/A,FALSE,"Test 120 Day Accts";#N/A,#N/A,FALSE,"Tickmarks"}</definedName>
    <definedName name="___________________________rwn10" hidden="1">{#N/A,#N/A,FALSE,"Aging Summary";#N/A,#N/A,FALSE,"Ratio Analysis";#N/A,#N/A,FALSE,"Test 120 Day Accts";#N/A,#N/A,FALSE,"Tickmarks"}</definedName>
    <definedName name="___________________________rwn3" hidden="1">{"assets",#N/A,FALSE,"historicBS";"liab",#N/A,FALSE,"historicBS";"is",#N/A,FALSE,"historicIS";"ratios",#N/A,FALSE,"ratios"}</definedName>
    <definedName name="___________________________rwn4" hidden="1">{"assets",#N/A,FALSE,"historicBS";"liab",#N/A,FALSE,"historicBS";"is",#N/A,FALSE,"historicIS";"ratios",#N/A,FALSE,"ratios"}</definedName>
    <definedName name="___________________________rwn5" hidden="1">{"glcbs",#N/A,FALSE,"GLCBS";"glccsbs",#N/A,FALSE,"GLCCSBS";"glcis",#N/A,FALSE,"GLCIS";"glccsis",#N/A,FALSE,"GLCCSIS";"glcrat1",#N/A,FALSE,"GLC-ratios1"}</definedName>
    <definedName name="___________________________rwn6" hidden="1">{"glc1",#N/A,FALSE,"GLC";"glc2",#N/A,FALSE,"GLC";"glc3",#N/A,FALSE,"GLC";"glc4",#N/A,FALSE,"GLC";"glc5",#N/A,FALSE,"GLC"}</definedName>
    <definedName name="______________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_______rwn8" hidden="1">{"glc1",#N/A,FALSE,"GLC";"glc2",#N/A,FALSE,"GLC";"glc3",#N/A,FALSE,"GLC";"glc4",#N/A,FALSE,"GLC";"glc5",#N/A,FALSE,"GLC"}</definedName>
    <definedName name="______________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_______wrn1" hidden="1">{"glc1",#N/A,FALSE,"GLC";"glc2",#N/A,FALSE,"GLC";"glc3",#N/A,FALSE,"GLC";"glc4",#N/A,FALSE,"GLC";"glc5",#N/A,FALSE,"GLC"}</definedName>
    <definedName name="___________________________wrn2" hidden="1">{"glc1",#N/A,FALSE,"GLC";"glc2",#N/A,FALSE,"GLC";"glc3",#N/A,FALSE,"GLC";"glc4",#N/A,FALSE,"GLC";"glc5",#N/A,FALSE,"GLC"}</definedName>
    <definedName name="__________________________c" hidden="1">{"ÜBERSICHT",#N/A,FALSE,"ABW KUM";"Kostenzoom",#N/A,FALSE,"ABW KUM";"ÜBERSICHT",#N/A,FALSE,"ABW HORE";"Kostenzoom",#N/A,FALSE,"ABW HORE"}</definedName>
    <definedName name="__________________________CF2" hidden="1">{"Output%",#N/A,FALSE,"Output"}</definedName>
    <definedName name="__________________________RAC1" hidden="1">#REF!</definedName>
    <definedName name="__________________________rwb2" hidden="1">{#N/A,#N/A,FALSE,"Aging Summary";#N/A,#N/A,FALSE,"Ratio Analysis";#N/A,#N/A,FALSE,"Test 120 Day Accts";#N/A,#N/A,FALSE,"Tickmarks"}</definedName>
    <definedName name="__________________________rwn1" hidden="1">{#N/A,#N/A,FALSE,"Aging Summary";#N/A,#N/A,FALSE,"Ratio Analysis";#N/A,#N/A,FALSE,"Test 120 Day Accts";#N/A,#N/A,FALSE,"Tickmarks"}</definedName>
    <definedName name="__________________________rwn10" hidden="1">{#N/A,#N/A,FALSE,"Aging Summary";#N/A,#N/A,FALSE,"Ratio Analysis";#N/A,#N/A,FALSE,"Test 120 Day Accts";#N/A,#N/A,FALSE,"Tickmarks"}</definedName>
    <definedName name="__________________________rwn3" hidden="1">{"assets",#N/A,FALSE,"historicBS";"liab",#N/A,FALSE,"historicBS";"is",#N/A,FALSE,"historicIS";"ratios",#N/A,FALSE,"ratios"}</definedName>
    <definedName name="__________________________rwn4" hidden="1">{"assets",#N/A,FALSE,"historicBS";"liab",#N/A,FALSE,"historicBS";"is",#N/A,FALSE,"historicIS";"ratios",#N/A,FALSE,"ratios"}</definedName>
    <definedName name="__________________________rwn5" hidden="1">{"glcbs",#N/A,FALSE,"GLCBS";"glccsbs",#N/A,FALSE,"GLCCSBS";"glcis",#N/A,FALSE,"GLCIS";"glccsis",#N/A,FALSE,"GLCCSIS";"glcrat1",#N/A,FALSE,"GLC-ratios1"}</definedName>
    <definedName name="__________________________rwn6" hidden="1">{"glc1",#N/A,FALSE,"GLC";"glc2",#N/A,FALSE,"GLC";"glc3",#N/A,FALSE,"GLC";"glc4",#N/A,FALSE,"GLC";"glc5",#N/A,FALSE,"GLC"}</definedName>
    <definedName name="_____________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______rwn8" hidden="1">{"glc1",#N/A,FALSE,"GLC";"glc2",#N/A,FALSE,"GLC";"glc3",#N/A,FALSE,"GLC";"glc4",#N/A,FALSE,"GLC";"glc5",#N/A,FALSE,"GLC"}</definedName>
    <definedName name="_____________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______wrn2" hidden="1">{"glc1",#N/A,FALSE,"GLC";"glc2",#N/A,FALSE,"GLC";"glc3",#N/A,FALSE,"GLC";"glc4",#N/A,FALSE,"GLC";"glc5",#N/A,FALSE,"GLC"}</definedName>
    <definedName name="_________________________RAC1" hidden="1">#REF!</definedName>
    <definedName name="_________________________rwb2" hidden="1">{#N/A,#N/A,FALSE,"Aging Summary";#N/A,#N/A,FALSE,"Ratio Analysis";#N/A,#N/A,FALSE,"Test 120 Day Accts";#N/A,#N/A,FALSE,"Tickmarks"}</definedName>
    <definedName name="_________________________rwn1" hidden="1">{#N/A,#N/A,FALSE,"Aging Summary";#N/A,#N/A,FALSE,"Ratio Analysis";#N/A,#N/A,FALSE,"Test 120 Day Accts";#N/A,#N/A,FALSE,"Tickmarks"}</definedName>
    <definedName name="_________________________rwn10" hidden="1">{#N/A,#N/A,FALSE,"Aging Summary";#N/A,#N/A,FALSE,"Ratio Analysis";#N/A,#N/A,FALSE,"Test 120 Day Accts";#N/A,#N/A,FALSE,"Tickmarks"}</definedName>
    <definedName name="_________________________rwn3" hidden="1">{"assets",#N/A,FALSE,"historicBS";"liab",#N/A,FALSE,"historicBS";"is",#N/A,FALSE,"historicIS";"ratios",#N/A,FALSE,"ratios"}</definedName>
    <definedName name="_________________________rwn4" hidden="1">{"assets",#N/A,FALSE,"historicBS";"liab",#N/A,FALSE,"historicBS";"is",#N/A,FALSE,"historicIS";"ratios",#N/A,FALSE,"ratios"}</definedName>
    <definedName name="_________________________rwn5" hidden="1">{"glcbs",#N/A,FALSE,"GLCBS";"glccsbs",#N/A,FALSE,"GLCCSBS";"glcis",#N/A,FALSE,"GLCIS";"glccsis",#N/A,FALSE,"GLCCSIS";"glcrat1",#N/A,FALSE,"GLC-ratios1"}</definedName>
    <definedName name="_________________________rwn6" hidden="1">{"glc1",#N/A,FALSE,"GLC";"glc2",#N/A,FALSE,"GLC";"glc3",#N/A,FALSE,"GLC";"glc4",#N/A,FALSE,"GLC";"glc5",#N/A,FALSE,"GLC"}</definedName>
    <definedName name="____________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_____rwn8" hidden="1">{"glc1",#N/A,FALSE,"GLC";"glc2",#N/A,FALSE,"GLC";"glc3",#N/A,FALSE,"GLC";"glc4",#N/A,FALSE,"GLC";"glc5",#N/A,FALSE,"GLC"}</definedName>
    <definedName name="____________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_____wrn1" hidden="1">{"glc1",#N/A,FALSE,"GLC";"glc2",#N/A,FALSE,"GLC";"glc3",#N/A,FALSE,"GLC";"glc4",#N/A,FALSE,"GLC";"glc5",#N/A,FALSE,"GLC"}</definedName>
    <definedName name="_________________________wrn2" hidden="1">{"glc1",#N/A,FALSE,"GLC";"glc2",#N/A,FALSE,"GLC";"glc3",#N/A,FALSE,"GLC";"glc4",#N/A,FALSE,"GLC";"glc5",#N/A,FALSE,"GLC"}</definedName>
    <definedName name="________________________c" hidden="1">{"ÜBERSICHT",#N/A,FALSE,"ABW KUM";"Kostenzoom",#N/A,FALSE,"ABW KUM";"ÜBERSICHT",#N/A,FALSE,"ABW HORE";"Kostenzoom",#N/A,FALSE,"ABW HORE"}</definedName>
    <definedName name="________________________CF2" hidden="1">{"Output%",#N/A,FALSE,"Output"}</definedName>
    <definedName name="________________________RAC1" hidden="1">#REF!</definedName>
    <definedName name="________________________rwb2" hidden="1">{#N/A,#N/A,FALSE,"Aging Summary";#N/A,#N/A,FALSE,"Ratio Analysis";#N/A,#N/A,FALSE,"Test 120 Day Accts";#N/A,#N/A,FALSE,"Tickmarks"}</definedName>
    <definedName name="________________________rwn1" hidden="1">{#N/A,#N/A,FALSE,"Aging Summary";#N/A,#N/A,FALSE,"Ratio Analysis";#N/A,#N/A,FALSE,"Test 120 Day Accts";#N/A,#N/A,FALSE,"Tickmarks"}</definedName>
    <definedName name="________________________wrn1" hidden="1">{"glc1",#N/A,FALSE,"GLC";"glc2",#N/A,FALSE,"GLC";"glc3",#N/A,FALSE,"GLC";"glc4",#N/A,FALSE,"GLC";"glc5",#N/A,FALSE,"GLC"}</definedName>
    <definedName name="________________________wrn2" hidden="1">{"glc1",#N/A,FALSE,"GLC";"glc2",#N/A,FALSE,"GLC";"glc3",#N/A,FALSE,"GLC";"glc4",#N/A,FALSE,"GLC";"glc5",#N/A,FALSE,"GLC"}</definedName>
    <definedName name="_______________________c" hidden="1">{"ÜBERSICHT",#N/A,FALSE,"ABW KUM";"Kostenzoom",#N/A,FALSE,"ABW KUM";"ÜBERSICHT",#N/A,FALSE,"ABW HORE";"Kostenzoom",#N/A,FALSE,"ABW HORE"}</definedName>
    <definedName name="_______________________CF2" hidden="1">{"Output%",#N/A,FALSE,"Output"}</definedName>
    <definedName name="_______________________RAC1" hidden="1">#REF!</definedName>
    <definedName name="_______________________rwb2" hidden="1">{#N/A,#N/A,FALSE,"Aging Summary";#N/A,#N/A,FALSE,"Ratio Analysis";#N/A,#N/A,FALSE,"Test 120 Day Accts";#N/A,#N/A,FALSE,"Tickmarks"}</definedName>
    <definedName name="_______________________rwn10" hidden="1">{#N/A,#N/A,FALSE,"Aging Summary";#N/A,#N/A,FALSE,"Ratio Analysis";#N/A,#N/A,FALSE,"Test 120 Day Accts";#N/A,#N/A,FALSE,"Tickmarks"}</definedName>
    <definedName name="_______________________rwn3" hidden="1">{"assets",#N/A,FALSE,"historicBS";"liab",#N/A,FALSE,"historicBS";"is",#N/A,FALSE,"historicIS";"ratios",#N/A,FALSE,"ratios"}</definedName>
    <definedName name="_______________________rwn4" hidden="1">{"assets",#N/A,FALSE,"historicBS";"liab",#N/A,FALSE,"historicBS";"is",#N/A,FALSE,"historicIS";"ratios",#N/A,FALSE,"ratios"}</definedName>
    <definedName name="_______________________rwn5" hidden="1">{"glcbs",#N/A,FALSE,"GLCBS";"glccsbs",#N/A,FALSE,"GLCCSBS";"glcis",#N/A,FALSE,"GLCIS";"glccsis",#N/A,FALSE,"GLCCSIS";"glcrat1",#N/A,FALSE,"GLC-ratios1"}</definedName>
    <definedName name="_______________________rwn6" hidden="1">{"glc1",#N/A,FALSE,"GLC";"glc2",#N/A,FALSE,"GLC";"glc3",#N/A,FALSE,"GLC";"glc4",#N/A,FALSE,"GLC";"glc5",#N/A,FALSE,"GLC"}</definedName>
    <definedName name="__________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___rwn8" hidden="1">{"glc1",#N/A,FALSE,"GLC";"glc2",#N/A,FALSE,"GLC";"glc3",#N/A,FALSE,"GLC";"glc4",#N/A,FALSE,"GLC";"glc5",#N/A,FALSE,"GLC"}</definedName>
    <definedName name="__________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___wrn1" hidden="1">{"glc1",#N/A,FALSE,"GLC";"glc2",#N/A,FALSE,"GLC";"glc3",#N/A,FALSE,"GLC";"glc4",#N/A,FALSE,"GLC";"glc5",#N/A,FALSE,"GLC"}</definedName>
    <definedName name="_______________________wrn2" hidden="1">{"glc1",#N/A,FALSE,"GLC";"glc2",#N/A,FALSE,"GLC";"glc3",#N/A,FALSE,"GLC";"glc4",#N/A,FALSE,"GLC";"glc5",#N/A,FALSE,"GLC"}</definedName>
    <definedName name="______________________c" hidden="1">{"ÜBERSICHT",#N/A,FALSE,"ABW KUM";"Kostenzoom",#N/A,FALSE,"ABW KUM";"ÜBERSICHT",#N/A,FALSE,"ABW HORE";"Kostenzoom",#N/A,FALSE,"ABW HORE"}</definedName>
    <definedName name="______________________CF2" hidden="1">{"Output%",#N/A,FALSE,"Output"}</definedName>
    <definedName name="______________________RAC1" hidden="1">#REF!</definedName>
    <definedName name="______________________rwn1" hidden="1">{#N/A,#N/A,FALSE,"Aging Summary";#N/A,#N/A,FALSE,"Ratio Analysis";#N/A,#N/A,FALSE,"Test 120 Day Accts";#N/A,#N/A,FALSE,"Tickmarks"}</definedName>
    <definedName name="______________________rwn10" hidden="1">{#N/A,#N/A,FALSE,"Aging Summary";#N/A,#N/A,FALSE,"Ratio Analysis";#N/A,#N/A,FALSE,"Test 120 Day Accts";#N/A,#N/A,FALSE,"Tickmarks"}</definedName>
    <definedName name="______________________rwn3" hidden="1">{"assets",#N/A,FALSE,"historicBS";"liab",#N/A,FALSE,"historicBS";"is",#N/A,FALSE,"historicIS";"ratios",#N/A,FALSE,"ratios"}</definedName>
    <definedName name="______________________rwn4" hidden="1">{"assets",#N/A,FALSE,"historicBS";"liab",#N/A,FALSE,"historicBS";"is",#N/A,FALSE,"historicIS";"ratios",#N/A,FALSE,"ratios"}</definedName>
    <definedName name="______________________rwn5" hidden="1">{"glcbs",#N/A,FALSE,"GLCBS";"glccsbs",#N/A,FALSE,"GLCCSBS";"glcis",#N/A,FALSE,"GLCIS";"glccsis",#N/A,FALSE,"GLCCSIS";"glcrat1",#N/A,FALSE,"GLC-ratios1"}</definedName>
    <definedName name="______________________rwn6" hidden="1">{"glc1",#N/A,FALSE,"GLC";"glc2",#N/A,FALSE,"GLC";"glc3",#N/A,FALSE,"GLC";"glc4",#N/A,FALSE,"GLC";"glc5",#N/A,FALSE,"GLC"}</definedName>
    <definedName name="_________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__rwn8" hidden="1">{"glc1",#N/A,FALSE,"GLC";"glc2",#N/A,FALSE,"GLC";"glc3",#N/A,FALSE,"GLC";"glc4",#N/A,FALSE,"GLC";"glc5",#N/A,FALSE,"GLC"}</definedName>
    <definedName name="_________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__wrn1" hidden="1">{"glc1",#N/A,FALSE,"GLC";"glc2",#N/A,FALSE,"GLC";"glc3",#N/A,FALSE,"GLC";"glc4",#N/A,FALSE,"GLC";"glc5",#N/A,FALSE,"GLC"}</definedName>
    <definedName name="______________________wrn2" hidden="1">{"glc1",#N/A,FALSE,"GLC";"glc2",#N/A,FALSE,"GLC";"glc3",#N/A,FALSE,"GLC";"glc4",#N/A,FALSE,"GLC";"glc5",#N/A,FALSE,"GLC"}</definedName>
    <definedName name="_____________________c" hidden="1">{"ÜBERSICHT",#N/A,FALSE,"ABW KUM";"Kostenzoom",#N/A,FALSE,"ABW KUM";"ÜBERSICHT",#N/A,FALSE,"ABW HORE";"Kostenzoom",#N/A,FALSE,"ABW HORE"}</definedName>
    <definedName name="_____________________CF2" hidden="1">{"Output%",#N/A,FALSE,"Output"}</definedName>
    <definedName name="_____________________RAC1" hidden="1">#REF!</definedName>
    <definedName name="_____________________rwb2" hidden="1">{#N/A,#N/A,FALSE,"Aging Summary";#N/A,#N/A,FALSE,"Ratio Analysis";#N/A,#N/A,FALSE,"Test 120 Day Accts";#N/A,#N/A,FALSE,"Tickmarks"}</definedName>
    <definedName name="_____________________rwn1" hidden="1">{#N/A,#N/A,FALSE,"Aging Summary";#N/A,#N/A,FALSE,"Ratio Analysis";#N/A,#N/A,FALSE,"Test 120 Day Accts";#N/A,#N/A,FALSE,"Tickmarks"}</definedName>
    <definedName name="_____________________rwn10" hidden="1">{#N/A,#N/A,FALSE,"Aging Summary";#N/A,#N/A,FALSE,"Ratio Analysis";#N/A,#N/A,FALSE,"Test 120 Day Accts";#N/A,#N/A,FALSE,"Tickmarks"}</definedName>
    <definedName name="_____________________rwn3" hidden="1">{"assets",#N/A,FALSE,"historicBS";"liab",#N/A,FALSE,"historicBS";"is",#N/A,FALSE,"historicIS";"ratios",#N/A,FALSE,"ratios"}</definedName>
    <definedName name="_____________________rwn4" hidden="1">{"assets",#N/A,FALSE,"historicBS";"liab",#N/A,FALSE,"historicBS";"is",#N/A,FALSE,"historicIS";"ratios",#N/A,FALSE,"ratios"}</definedName>
    <definedName name="_____________________rwn5" hidden="1">{"glcbs",#N/A,FALSE,"GLCBS";"glccsbs",#N/A,FALSE,"GLCCSBS";"glcis",#N/A,FALSE,"GLCIS";"glccsis",#N/A,FALSE,"GLCCSIS";"glcrat1",#N/A,FALSE,"GLC-ratios1"}</definedName>
    <definedName name="_____________________rwn6" hidden="1">{"glc1",#N/A,FALSE,"GLC";"glc2",#N/A,FALSE,"GLC";"glc3",#N/A,FALSE,"GLC";"glc4",#N/A,FALSE,"GLC";"glc5",#N/A,FALSE,"GLC"}</definedName>
    <definedName name="________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_rwn8" hidden="1">{"glc1",#N/A,FALSE,"GLC";"glc2",#N/A,FALSE,"GLC";"glc3",#N/A,FALSE,"GLC";"glc4",#N/A,FALSE,"GLC";"glc5",#N/A,FALSE,"GLC"}</definedName>
    <definedName name="________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_wrn1" hidden="1">{"glc1",#N/A,FALSE,"GLC";"glc2",#N/A,FALSE,"GLC";"glc3",#N/A,FALSE,"GLC";"glc4",#N/A,FALSE,"GLC";"glc5",#N/A,FALSE,"GLC"}</definedName>
    <definedName name="_____________________wrn2" hidden="1">{"glc1",#N/A,FALSE,"GLC";"glc2",#N/A,FALSE,"GLC";"glc3",#N/A,FALSE,"GLC";"glc4",#N/A,FALSE,"GLC";"glc5",#N/A,FALSE,"GLC"}</definedName>
    <definedName name="____________________c" hidden="1">{"ÜBERSICHT",#N/A,FALSE,"ABW KUM";"Kostenzoom",#N/A,FALSE,"ABW KUM";"ÜBERSICHT",#N/A,FALSE,"ABW HORE";"Kostenzoom",#N/A,FALSE,"ABW HORE"}</definedName>
    <definedName name="____________________CF2" hidden="1">{"Output%",#N/A,FALSE,"Output"}</definedName>
    <definedName name="____________________RAC1" hidden="1">#REF!</definedName>
    <definedName name="____________________rwb2" hidden="1">{#N/A,#N/A,FALSE,"Aging Summary";#N/A,#N/A,FALSE,"Ratio Analysis";#N/A,#N/A,FALSE,"Test 120 Day Accts";#N/A,#N/A,FALSE,"Tickmarks"}</definedName>
    <definedName name="____________________rwn1" hidden="1">{#N/A,#N/A,FALSE,"Aging Summary";#N/A,#N/A,FALSE,"Ratio Analysis";#N/A,#N/A,FALSE,"Test 120 Day Accts";#N/A,#N/A,FALSE,"Tickmarks"}</definedName>
    <definedName name="____________________rwn10" hidden="1">{#N/A,#N/A,FALSE,"Aging Summary";#N/A,#N/A,FALSE,"Ratio Analysis";#N/A,#N/A,FALSE,"Test 120 Day Accts";#N/A,#N/A,FALSE,"Tickmarks"}</definedName>
    <definedName name="____________________rwn3" hidden="1">{"assets",#N/A,FALSE,"historicBS";"liab",#N/A,FALSE,"historicBS";"is",#N/A,FALSE,"historicIS";"ratios",#N/A,FALSE,"ratios"}</definedName>
    <definedName name="____________________rwn4" hidden="1">{"assets",#N/A,FALSE,"historicBS";"liab",#N/A,FALSE,"historicBS";"is",#N/A,FALSE,"historicIS";"ratios",#N/A,FALSE,"ratios"}</definedName>
    <definedName name="____________________rwn5" hidden="1">{"glcbs",#N/A,FALSE,"GLCBS";"glccsbs",#N/A,FALSE,"GLCCSBS";"glcis",#N/A,FALSE,"GLCIS";"glccsis",#N/A,FALSE,"GLCCSIS";"glcrat1",#N/A,FALSE,"GLC-ratios1"}</definedName>
    <definedName name="____________________rwn6" hidden="1">{"glc1",#N/A,FALSE,"GLC";"glc2",#N/A,FALSE,"GLC";"glc3",#N/A,FALSE,"GLC";"glc4",#N/A,FALSE,"GLC";"glc5",#N/A,FALSE,"GLC"}</definedName>
    <definedName name="_______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rwn8" hidden="1">{"glc1",#N/A,FALSE,"GLC";"glc2",#N/A,FALSE,"GLC";"glc3",#N/A,FALSE,"GLC";"glc4",#N/A,FALSE,"GLC";"glc5",#N/A,FALSE,"GLC"}</definedName>
    <definedName name="_______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wrn1" hidden="1">{"glc1",#N/A,FALSE,"GLC";"glc2",#N/A,FALSE,"GLC";"glc3",#N/A,FALSE,"GLC";"glc4",#N/A,FALSE,"GLC";"glc5",#N/A,FALSE,"GLC"}</definedName>
    <definedName name="____________________wrn2" hidden="1">{"glc1",#N/A,FALSE,"GLC";"glc2",#N/A,FALSE,"GLC";"glc3",#N/A,FALSE,"GLC";"glc4",#N/A,FALSE,"GLC";"glc5",#N/A,FALSE,"GLC"}</definedName>
    <definedName name="___________________c" hidden="1">{"ÜBERSICHT",#N/A,FALSE,"ABW KUM";"Kostenzoom",#N/A,FALSE,"ABW KUM";"ÜBERSICHT",#N/A,FALSE,"ABW HORE";"Kostenzoom",#N/A,FALSE,"ABW HORE"}</definedName>
    <definedName name="___________________CF2" hidden="1">{"Output%",#N/A,FALSE,"Output"}</definedName>
    <definedName name="___________________RAC1" hidden="1">#REF!</definedName>
    <definedName name="___________________rwb2" hidden="1">{#N/A,#N/A,FALSE,"Aging Summary";#N/A,#N/A,FALSE,"Ratio Analysis";#N/A,#N/A,FALSE,"Test 120 Day Accts";#N/A,#N/A,FALSE,"Tickmarks"}</definedName>
    <definedName name="___________________rwn1" hidden="1">{#N/A,#N/A,FALSE,"Aging Summary";#N/A,#N/A,FALSE,"Ratio Analysis";#N/A,#N/A,FALSE,"Test 120 Day Accts";#N/A,#N/A,FALSE,"Tickmarks"}</definedName>
    <definedName name="___________________rwn10" hidden="1">{#N/A,#N/A,FALSE,"Aging Summary";#N/A,#N/A,FALSE,"Ratio Analysis";#N/A,#N/A,FALSE,"Test 120 Day Accts";#N/A,#N/A,FALSE,"Tickmarks"}</definedName>
    <definedName name="___________________rwn3" hidden="1">{"assets",#N/A,FALSE,"historicBS";"liab",#N/A,FALSE,"historicBS";"is",#N/A,FALSE,"historicIS";"ratios",#N/A,FALSE,"ratios"}</definedName>
    <definedName name="___________________rwn4" hidden="1">{"assets",#N/A,FALSE,"historicBS";"liab",#N/A,FALSE,"historicBS";"is",#N/A,FALSE,"historicIS";"ratios",#N/A,FALSE,"ratios"}</definedName>
    <definedName name="___________________rwn5" hidden="1">{"glcbs",#N/A,FALSE,"GLCBS";"glccsbs",#N/A,FALSE,"GLCCSBS";"glcis",#N/A,FALSE,"GLCIS";"glccsis",#N/A,FALSE,"GLCCSIS";"glcrat1",#N/A,FALSE,"GLC-ratios1"}</definedName>
    <definedName name="___________________rwn6" hidden="1">{"glc1",#N/A,FALSE,"GLC";"glc2",#N/A,FALSE,"GLC";"glc3",#N/A,FALSE,"GLC";"glc4",#N/A,FALSE,"GLC";"glc5",#N/A,FALSE,"GLC"}</definedName>
    <definedName name="______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rwn8" hidden="1">{"glc1",#N/A,FALSE,"GLC";"glc2",#N/A,FALSE,"GLC";"glc3",#N/A,FALSE,"GLC";"glc4",#N/A,FALSE,"GLC";"glc5",#N/A,FALSE,"GLC"}</definedName>
    <definedName name="______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wrn1" hidden="1">{"glc1",#N/A,FALSE,"GLC";"glc2",#N/A,FALSE,"GLC";"glc3",#N/A,FALSE,"GLC";"glc4",#N/A,FALSE,"GLC";"glc5",#N/A,FALSE,"GLC"}</definedName>
    <definedName name="___________________wrn2" hidden="1">{"glc1",#N/A,FALSE,"GLC";"glc2",#N/A,FALSE,"GLC";"glc3",#N/A,FALSE,"GLC";"glc4",#N/A,FALSE,"GLC";"glc5",#N/A,FALSE,"GLC"}</definedName>
    <definedName name="__________________c" hidden="1">{"ÜBERSICHT",#N/A,FALSE,"ABW KUM";"Kostenzoom",#N/A,FALSE,"ABW KUM";"ÜBERSICHT",#N/A,FALSE,"ABW HORE";"Kostenzoom",#N/A,FALSE,"ABW HORE"}</definedName>
    <definedName name="__________________CF2" hidden="1">{"Output%",#N/A,FALSE,"Output"}</definedName>
    <definedName name="__________________RAC1" hidden="1">#REF!</definedName>
    <definedName name="__________________rwb2" hidden="1">{#N/A,#N/A,FALSE,"Aging Summary";#N/A,#N/A,FALSE,"Ratio Analysis";#N/A,#N/A,FALSE,"Test 120 Day Accts";#N/A,#N/A,FALSE,"Tickmarks"}</definedName>
    <definedName name="__________________rwn1" hidden="1">{#N/A,#N/A,FALSE,"Aging Summary";#N/A,#N/A,FALSE,"Ratio Analysis";#N/A,#N/A,FALSE,"Test 120 Day Accts";#N/A,#N/A,FALSE,"Tickmarks"}</definedName>
    <definedName name="__________________rwn10" hidden="1">{#N/A,#N/A,FALSE,"Aging Summary";#N/A,#N/A,FALSE,"Ratio Analysis";#N/A,#N/A,FALSE,"Test 120 Day Accts";#N/A,#N/A,FALSE,"Tickmarks"}</definedName>
    <definedName name="__________________rwn3" hidden="1">{"assets",#N/A,FALSE,"historicBS";"liab",#N/A,FALSE,"historicBS";"is",#N/A,FALSE,"historicIS";"ratios",#N/A,FALSE,"ratios"}</definedName>
    <definedName name="__________________rwn4" hidden="1">{"assets",#N/A,FALSE,"historicBS";"liab",#N/A,FALSE,"historicBS";"is",#N/A,FALSE,"historicIS";"ratios",#N/A,FALSE,"ratios"}</definedName>
    <definedName name="__________________rwn5" hidden="1">{"glcbs",#N/A,FALSE,"GLCBS";"glccsbs",#N/A,FALSE,"GLCCSBS";"glcis",#N/A,FALSE,"GLCIS";"glccsis",#N/A,FALSE,"GLCCSIS";"glcrat1",#N/A,FALSE,"GLC-ratios1"}</definedName>
    <definedName name="__________________rwn6" hidden="1">{"glc1",#N/A,FALSE,"GLC";"glc2",#N/A,FALSE,"GLC";"glc3",#N/A,FALSE,"GLC";"glc4",#N/A,FALSE,"GLC";"glc5",#N/A,FALSE,"GLC"}</definedName>
    <definedName name="_____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rwn8" hidden="1">{"glc1",#N/A,FALSE,"GLC";"glc2",#N/A,FALSE,"GLC";"glc3",#N/A,FALSE,"GLC";"glc4",#N/A,FALSE,"GLC";"glc5",#N/A,FALSE,"GLC"}</definedName>
    <definedName name="_____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wrn1" hidden="1">{"glc1",#N/A,FALSE,"GLC";"glc2",#N/A,FALSE,"GLC";"glc3",#N/A,FALSE,"GLC";"glc4",#N/A,FALSE,"GLC";"glc5",#N/A,FALSE,"GLC"}</definedName>
    <definedName name="__________________wrn2" hidden="1">{"glc1",#N/A,FALSE,"GLC";"glc2",#N/A,FALSE,"GLC";"glc3",#N/A,FALSE,"GLC";"glc4",#N/A,FALSE,"GLC";"glc5",#N/A,FALSE,"GLC"}</definedName>
    <definedName name="_________________c" hidden="1">{"ÜBERSICHT",#N/A,FALSE,"ABW KUM";"Kostenzoom",#N/A,FALSE,"ABW KUM";"ÜBERSICHT",#N/A,FALSE,"ABW HORE";"Kostenzoom",#N/A,FALSE,"ABW HORE"}</definedName>
    <definedName name="_________________CF2" hidden="1">{"Output%",#N/A,FALSE,"Output"}</definedName>
    <definedName name="_________________RAC1" hidden="1">#REF!</definedName>
    <definedName name="_________________rwb2" hidden="1">{#N/A,#N/A,FALSE,"Aging Summary";#N/A,#N/A,FALSE,"Ratio Analysis";#N/A,#N/A,FALSE,"Test 120 Day Accts";#N/A,#N/A,FALSE,"Tickmarks"}</definedName>
    <definedName name="_________________rwn1" hidden="1">{#N/A,#N/A,FALSE,"Aging Summary";#N/A,#N/A,FALSE,"Ratio Analysis";#N/A,#N/A,FALSE,"Test 120 Day Accts";#N/A,#N/A,FALSE,"Tickmarks"}</definedName>
    <definedName name="_________________rwn10" hidden="1">{#N/A,#N/A,FALSE,"Aging Summary";#N/A,#N/A,FALSE,"Ratio Analysis";#N/A,#N/A,FALSE,"Test 120 Day Accts";#N/A,#N/A,FALSE,"Tickmarks"}</definedName>
    <definedName name="_________________rwn3" hidden="1">{"assets",#N/A,FALSE,"historicBS";"liab",#N/A,FALSE,"historicBS";"is",#N/A,FALSE,"historicIS";"ratios",#N/A,FALSE,"ratios"}</definedName>
    <definedName name="_________________rwn4" hidden="1">{"assets",#N/A,FALSE,"historicBS";"liab",#N/A,FALSE,"historicBS";"is",#N/A,FALSE,"historicIS";"ratios",#N/A,FALSE,"ratios"}</definedName>
    <definedName name="_________________rwn5" hidden="1">{"glcbs",#N/A,FALSE,"GLCBS";"glccsbs",#N/A,FALSE,"GLCCSBS";"glcis",#N/A,FALSE,"GLCIS";"glccsis",#N/A,FALSE,"GLCCSIS";"glcrat1",#N/A,FALSE,"GLC-ratios1"}</definedName>
    <definedName name="_________________rwn6" hidden="1">{"glc1",#N/A,FALSE,"GLC";"glc2",#N/A,FALSE,"GLC";"glc3",#N/A,FALSE,"GLC";"glc4",#N/A,FALSE,"GLC";"glc5",#N/A,FALSE,"GLC"}</definedName>
    <definedName name="____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rwn8" hidden="1">{"glc1",#N/A,FALSE,"GLC";"glc2",#N/A,FALSE,"GLC";"glc3",#N/A,FALSE,"GLC";"glc4",#N/A,FALSE,"GLC";"glc5",#N/A,FALSE,"GLC"}</definedName>
    <definedName name="____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wrn1" hidden="1">{"glc1",#N/A,FALSE,"GLC";"glc2",#N/A,FALSE,"GLC";"glc3",#N/A,FALSE,"GLC";"glc4",#N/A,FALSE,"GLC";"glc5",#N/A,FALSE,"GLC"}</definedName>
    <definedName name="_________________wrn2" hidden="1">{"glc1",#N/A,FALSE,"GLC";"glc2",#N/A,FALSE,"GLC";"glc3",#N/A,FALSE,"GLC";"glc4",#N/A,FALSE,"GLC";"glc5",#N/A,FALSE,"GLC"}</definedName>
    <definedName name="_________________wrn222" hidden="1">{"glc1",#N/A,FALSE,"GLC";"glc2",#N/A,FALSE,"GLC";"glc3",#N/A,FALSE,"GLC";"glc4",#N/A,FALSE,"GLC";"glc5",#N/A,FALSE,"GLC"}</definedName>
    <definedName name="________________c" hidden="1">{"ÜBERSICHT",#N/A,FALSE,"ABW KUM";"Kostenzoom",#N/A,FALSE,"ABW KUM";"ÜBERSICHT",#N/A,FALSE,"ABW HORE";"Kostenzoom",#N/A,FALSE,"ABW HORE"}</definedName>
    <definedName name="________________CF2" hidden="1">{"Output%",#N/A,FALSE,"Output"}</definedName>
    <definedName name="________________RAC1" hidden="1">#REF!</definedName>
    <definedName name="________________rwb2" hidden="1">{#N/A,#N/A,FALSE,"Aging Summary";#N/A,#N/A,FALSE,"Ratio Analysis";#N/A,#N/A,FALSE,"Test 120 Day Accts";#N/A,#N/A,FALSE,"Tickmarks"}</definedName>
    <definedName name="________________rwn1" hidden="1">{#N/A,#N/A,FALSE,"Aging Summary";#N/A,#N/A,FALSE,"Ratio Analysis";#N/A,#N/A,FALSE,"Test 120 Day Accts";#N/A,#N/A,FALSE,"Tickmarks"}</definedName>
    <definedName name="________________rwn10" hidden="1">{#N/A,#N/A,FALSE,"Aging Summary";#N/A,#N/A,FALSE,"Ratio Analysis";#N/A,#N/A,FALSE,"Test 120 Day Accts";#N/A,#N/A,FALSE,"Tickmarks"}</definedName>
    <definedName name="________________rwn3" hidden="1">{"assets",#N/A,FALSE,"historicBS";"liab",#N/A,FALSE,"historicBS";"is",#N/A,FALSE,"historicIS";"ratios",#N/A,FALSE,"ratios"}</definedName>
    <definedName name="________________rwn4" hidden="1">{"assets",#N/A,FALSE,"historicBS";"liab",#N/A,FALSE,"historicBS";"is",#N/A,FALSE,"historicIS";"ratios",#N/A,FALSE,"ratios"}</definedName>
    <definedName name="________________rwn5" hidden="1">{"glcbs",#N/A,FALSE,"GLCBS";"glccsbs",#N/A,FALSE,"GLCCSBS";"glcis",#N/A,FALSE,"GLCIS";"glccsis",#N/A,FALSE,"GLCCSIS";"glcrat1",#N/A,FALSE,"GLC-ratios1"}</definedName>
    <definedName name="________________rwn6" hidden="1">{"glc1",#N/A,FALSE,"GLC";"glc2",#N/A,FALSE,"GLC";"glc3",#N/A,FALSE,"GLC";"glc4",#N/A,FALSE,"GLC";"glc5",#N/A,FALSE,"GLC"}</definedName>
    <definedName name="___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rwn8" hidden="1">{"glc1",#N/A,FALSE,"GLC";"glc2",#N/A,FALSE,"GLC";"glc3",#N/A,FALSE,"GLC";"glc4",#N/A,FALSE,"GLC";"glc5",#N/A,FALSE,"GLC"}</definedName>
    <definedName name="___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wrn1" hidden="1">{"glc1",#N/A,FALSE,"GLC";"glc2",#N/A,FALSE,"GLC";"glc3",#N/A,FALSE,"GLC";"glc4",#N/A,FALSE,"GLC";"glc5",#N/A,FALSE,"GLC"}</definedName>
    <definedName name="________________wrn2" hidden="1">{"glc1",#N/A,FALSE,"GLC";"glc2",#N/A,FALSE,"GLC";"glc3",#N/A,FALSE,"GLC";"glc4",#N/A,FALSE,"GLC";"glc5",#N/A,FALSE,"GLC"}</definedName>
    <definedName name="________________wrn222" hidden="1">{"glc1",#N/A,FALSE,"GLC";"glc2",#N/A,FALSE,"GLC";"glc3",#N/A,FALSE,"GLC";"glc4",#N/A,FALSE,"GLC";"glc5",#N/A,FALSE,"GLC"}</definedName>
    <definedName name="_______________c" hidden="1">{"ÜBERSICHT",#N/A,FALSE,"ABW KUM";"Kostenzoom",#N/A,FALSE,"ABW KUM";"ÜBERSICHT",#N/A,FALSE,"ABW HORE";"Kostenzoom",#N/A,FALSE,"ABW HORE"}</definedName>
    <definedName name="_______________CF2" hidden="1">{"Output%",#N/A,FALSE,"Output"}</definedName>
    <definedName name="_______________RAC1" hidden="1">#REF!</definedName>
    <definedName name="_______________rwb2" hidden="1">{#N/A,#N/A,FALSE,"Aging Summary";#N/A,#N/A,FALSE,"Ratio Analysis";#N/A,#N/A,FALSE,"Test 120 Day Accts";#N/A,#N/A,FALSE,"Tickmarks"}</definedName>
    <definedName name="_______________rwn1" hidden="1">{#N/A,#N/A,FALSE,"Aging Summary";#N/A,#N/A,FALSE,"Ratio Analysis";#N/A,#N/A,FALSE,"Test 120 Day Accts";#N/A,#N/A,FALSE,"Tickmarks"}</definedName>
    <definedName name="_______________rwn10" hidden="1">{#N/A,#N/A,FALSE,"Aging Summary";#N/A,#N/A,FALSE,"Ratio Analysis";#N/A,#N/A,FALSE,"Test 120 Day Accts";#N/A,#N/A,FALSE,"Tickmarks"}</definedName>
    <definedName name="_______________rwn3" hidden="1">{"assets",#N/A,FALSE,"historicBS";"liab",#N/A,FALSE,"historicBS";"is",#N/A,FALSE,"historicIS";"ratios",#N/A,FALSE,"ratios"}</definedName>
    <definedName name="_______________rwn4" hidden="1">{"assets",#N/A,FALSE,"historicBS";"liab",#N/A,FALSE,"historicBS";"is",#N/A,FALSE,"historicIS";"ratios",#N/A,FALSE,"ratios"}</definedName>
    <definedName name="_______________rwn5" hidden="1">{"glcbs",#N/A,FALSE,"GLCBS";"glccsbs",#N/A,FALSE,"GLCCSBS";"glcis",#N/A,FALSE,"GLCIS";"glccsis",#N/A,FALSE,"GLCCSIS";"glcrat1",#N/A,FALSE,"GLC-ratios1"}</definedName>
    <definedName name="_______________rwn6" hidden="1">{"glc1",#N/A,FALSE,"GLC";"glc2",#N/A,FALSE,"GLC";"glc3",#N/A,FALSE,"GLC";"glc4",#N/A,FALSE,"GLC";"glc5",#N/A,FALSE,"GLC"}</definedName>
    <definedName name="__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rwn8" hidden="1">{"glc1",#N/A,FALSE,"GLC";"glc2",#N/A,FALSE,"GLC";"glc3",#N/A,FALSE,"GLC";"glc4",#N/A,FALSE,"GLC";"glc5",#N/A,FALSE,"GLC"}</definedName>
    <definedName name="__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wrn1" hidden="1">{"glc1",#N/A,FALSE,"GLC";"glc2",#N/A,FALSE,"GLC";"glc3",#N/A,FALSE,"GLC";"glc4",#N/A,FALSE,"GLC";"glc5",#N/A,FALSE,"GLC"}</definedName>
    <definedName name="_______________wrn2" hidden="1">{"glc1",#N/A,FALSE,"GLC";"glc2",#N/A,FALSE,"GLC";"glc3",#N/A,FALSE,"GLC";"glc4",#N/A,FALSE,"GLC";"glc5",#N/A,FALSE,"GLC"}</definedName>
    <definedName name="_______________wrn222" hidden="1">{"glc1",#N/A,FALSE,"GLC";"glc2",#N/A,FALSE,"GLC";"glc3",#N/A,FALSE,"GLC";"glc4",#N/A,FALSE,"GLC";"glc5",#N/A,FALSE,"GLC"}</definedName>
    <definedName name="______________c" hidden="1">{"ÜBERSICHT",#N/A,FALSE,"ABW KUM";"Kostenzoom",#N/A,FALSE,"ABW KUM";"ÜBERSICHT",#N/A,FALSE,"ABW HORE";"Kostenzoom",#N/A,FALSE,"ABW HORE"}</definedName>
    <definedName name="______________CF2" hidden="1">{"Output%",#N/A,FALSE,"Output"}</definedName>
    <definedName name="______________RAC1" hidden="1">#REF!</definedName>
    <definedName name="______________rwb2" hidden="1">{#N/A,#N/A,FALSE,"Aging Summary";#N/A,#N/A,FALSE,"Ratio Analysis";#N/A,#N/A,FALSE,"Test 120 Day Accts";#N/A,#N/A,FALSE,"Tickmarks"}</definedName>
    <definedName name="______________rwn1" hidden="1">{#N/A,#N/A,FALSE,"Aging Summary";#N/A,#N/A,FALSE,"Ratio Analysis";#N/A,#N/A,FALSE,"Test 120 Day Accts";#N/A,#N/A,FALSE,"Tickmarks"}</definedName>
    <definedName name="______________rwn10" hidden="1">{#N/A,#N/A,FALSE,"Aging Summary";#N/A,#N/A,FALSE,"Ratio Analysis";#N/A,#N/A,FALSE,"Test 120 Day Accts";#N/A,#N/A,FALSE,"Tickmarks"}</definedName>
    <definedName name="______________rwn3" hidden="1">{"assets",#N/A,FALSE,"historicBS";"liab",#N/A,FALSE,"historicBS";"is",#N/A,FALSE,"historicIS";"ratios",#N/A,FALSE,"ratios"}</definedName>
    <definedName name="______________rwn4" hidden="1">{"assets",#N/A,FALSE,"historicBS";"liab",#N/A,FALSE,"historicBS";"is",#N/A,FALSE,"historicIS";"ratios",#N/A,FALSE,"ratios"}</definedName>
    <definedName name="______________rwn5" hidden="1">{"glcbs",#N/A,FALSE,"GLCBS";"glccsbs",#N/A,FALSE,"GLCCSBS";"glcis",#N/A,FALSE,"GLCIS";"glccsis",#N/A,FALSE,"GLCCSIS";"glcrat1",#N/A,FALSE,"GLC-ratios1"}</definedName>
    <definedName name="______________rwn6" hidden="1">{"glc1",#N/A,FALSE,"GLC";"glc2",#N/A,FALSE,"GLC";"glc3",#N/A,FALSE,"GLC";"glc4",#N/A,FALSE,"GLC";"glc5",#N/A,FALSE,"GLC"}</definedName>
    <definedName name="_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rwn8" hidden="1">{"glc1",#N/A,FALSE,"GLC";"glc2",#N/A,FALSE,"GLC";"glc3",#N/A,FALSE,"GLC";"glc4",#N/A,FALSE,"GLC";"glc5",#N/A,FALSE,"GLC"}</definedName>
    <definedName name="_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wrn1" hidden="1">{"glc1",#N/A,FALSE,"GLC";"glc2",#N/A,FALSE,"GLC";"glc3",#N/A,FALSE,"GLC";"glc4",#N/A,FALSE,"GLC";"glc5",#N/A,FALSE,"GLC"}</definedName>
    <definedName name="______________wrn2" hidden="1">{"glc1",#N/A,FALSE,"GLC";"glc2",#N/A,FALSE,"GLC";"glc3",#N/A,FALSE,"GLC";"glc4",#N/A,FALSE,"GLC";"glc5",#N/A,FALSE,"GLC"}</definedName>
    <definedName name="______________wrn222" hidden="1">{"glc1",#N/A,FALSE,"GLC";"glc2",#N/A,FALSE,"GLC";"glc3",#N/A,FALSE,"GLC";"glc4",#N/A,FALSE,"GLC";"glc5",#N/A,FALSE,"GLC"}</definedName>
    <definedName name="_____________c" hidden="1">{"ÜBERSICHT",#N/A,FALSE,"ABW KUM";"Kostenzoom",#N/A,FALSE,"ABW KUM";"ÜBERSICHT",#N/A,FALSE,"ABW HORE";"Kostenzoom",#N/A,FALSE,"ABW HORE"}</definedName>
    <definedName name="_____________CF2" hidden="1">{"Output%",#N/A,FALSE,"Output"}</definedName>
    <definedName name="_____________RAC1" hidden="1">#REF!</definedName>
    <definedName name="_____________rwb2" hidden="1">{#N/A,#N/A,FALSE,"Aging Summary";#N/A,#N/A,FALSE,"Ratio Analysis";#N/A,#N/A,FALSE,"Test 120 Day Accts";#N/A,#N/A,FALSE,"Tickmarks"}</definedName>
    <definedName name="_____________rwn1" hidden="1">{#N/A,#N/A,FALSE,"Aging Summary";#N/A,#N/A,FALSE,"Ratio Analysis";#N/A,#N/A,FALSE,"Test 120 Day Accts";#N/A,#N/A,FALSE,"Tickmarks"}</definedName>
    <definedName name="_____________rwn10" hidden="1">{#N/A,#N/A,FALSE,"Aging Summary";#N/A,#N/A,FALSE,"Ratio Analysis";#N/A,#N/A,FALSE,"Test 120 Day Accts";#N/A,#N/A,FALSE,"Tickmarks"}</definedName>
    <definedName name="_____________rwn3" hidden="1">{"assets",#N/A,FALSE,"historicBS";"liab",#N/A,FALSE,"historicBS";"is",#N/A,FALSE,"historicIS";"ratios",#N/A,FALSE,"ratios"}</definedName>
    <definedName name="_____________rwn4" hidden="1">{"assets",#N/A,FALSE,"historicBS";"liab",#N/A,FALSE,"historicBS";"is",#N/A,FALSE,"historicIS";"ratios",#N/A,FALSE,"ratios"}</definedName>
    <definedName name="_____________rwn5" hidden="1">{"glcbs",#N/A,FALSE,"GLCBS";"glccsbs",#N/A,FALSE,"GLCCSBS";"glcis",#N/A,FALSE,"GLCIS";"glccsis",#N/A,FALSE,"GLCCSIS";"glcrat1",#N/A,FALSE,"GLC-ratios1"}</definedName>
    <definedName name="_____________rwn6" hidden="1">{"glc1",#N/A,FALSE,"GLC";"glc2",#N/A,FALSE,"GLC";"glc3",#N/A,FALSE,"GLC";"glc4",#N/A,FALSE,"GLC";"glc5",#N/A,FALSE,"GLC"}</definedName>
    <definedName name="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rwn8" hidden="1">{"glc1",#N/A,FALSE,"GLC";"glc2",#N/A,FALSE,"GLC";"glc3",#N/A,FALSE,"GLC";"glc4",#N/A,FALSE,"GLC";"glc5",#N/A,FALSE,"GLC"}</definedName>
    <definedName name="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wrn1" hidden="1">{"glc1",#N/A,FALSE,"GLC";"glc2",#N/A,FALSE,"GLC";"glc3",#N/A,FALSE,"GLC";"glc4",#N/A,FALSE,"GLC";"glc5",#N/A,FALSE,"GLC"}</definedName>
    <definedName name="_____________wrn2" hidden="1">{"glc1",#N/A,FALSE,"GLC";"glc2",#N/A,FALSE,"GLC";"glc3",#N/A,FALSE,"GLC";"glc4",#N/A,FALSE,"GLC";"glc5",#N/A,FALSE,"GLC"}</definedName>
    <definedName name="_____________wrn222" hidden="1">{"glc1",#N/A,FALSE,"GLC";"glc2",#N/A,FALSE,"GLC";"glc3",#N/A,FALSE,"GLC";"glc4",#N/A,FALSE,"GLC";"glc5",#N/A,FALSE,"GLC"}</definedName>
    <definedName name="____________c" hidden="1">{"ÜBERSICHT",#N/A,FALSE,"ABW KUM";"Kostenzoom",#N/A,FALSE,"ABW KUM";"ÜBERSICHT",#N/A,FALSE,"ABW HORE";"Kostenzoom",#N/A,FALSE,"ABW HORE"}</definedName>
    <definedName name="____________CF2" hidden="1">{"Output%",#N/A,FALSE,"Output"}</definedName>
    <definedName name="____________RAC1" hidden="1">#REF!</definedName>
    <definedName name="____________rwb2" hidden="1">{#N/A,#N/A,FALSE,"Aging Summary";#N/A,#N/A,FALSE,"Ratio Analysis";#N/A,#N/A,FALSE,"Test 120 Day Accts";#N/A,#N/A,FALSE,"Tickmarks"}</definedName>
    <definedName name="____________rwn1" hidden="1">{#N/A,#N/A,FALSE,"Aging Summary";#N/A,#N/A,FALSE,"Ratio Analysis";#N/A,#N/A,FALSE,"Test 120 Day Accts";#N/A,#N/A,FALSE,"Tickmarks"}</definedName>
    <definedName name="____________rwn10" hidden="1">{#N/A,#N/A,FALSE,"Aging Summary";#N/A,#N/A,FALSE,"Ratio Analysis";#N/A,#N/A,FALSE,"Test 120 Day Accts";#N/A,#N/A,FALSE,"Tickmarks"}</definedName>
    <definedName name="____________rwn3" hidden="1">{"assets",#N/A,FALSE,"historicBS";"liab",#N/A,FALSE,"historicBS";"is",#N/A,FALSE,"historicIS";"ratios",#N/A,FALSE,"ratios"}</definedName>
    <definedName name="____________rwn4" hidden="1">{"assets",#N/A,FALSE,"historicBS";"liab",#N/A,FALSE,"historicBS";"is",#N/A,FALSE,"historicIS";"ratios",#N/A,FALSE,"ratios"}</definedName>
    <definedName name="____________rwn5" hidden="1">{"glcbs",#N/A,FALSE,"GLCBS";"glccsbs",#N/A,FALSE,"GLCCSBS";"glcis",#N/A,FALSE,"GLCIS";"glccsis",#N/A,FALSE,"GLCCSIS";"glcrat1",#N/A,FALSE,"GLC-ratios1"}</definedName>
    <definedName name="____________rwn6" hidden="1">{"glc1",#N/A,FALSE,"GLC";"glc2",#N/A,FALSE,"GLC";"glc3",#N/A,FALSE,"GLC";"glc4",#N/A,FALSE,"GLC";"glc5",#N/A,FALSE,"GLC"}</definedName>
    <definedName name="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rwn8" hidden="1">{"glc1",#N/A,FALSE,"GLC";"glc2",#N/A,FALSE,"GLC";"glc3",#N/A,FALSE,"GLC";"glc4",#N/A,FALSE,"GLC";"glc5",#N/A,FALSE,"GLC"}</definedName>
    <definedName name="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SDU99">[1]ЗАО_н.ит!#REF!</definedName>
    <definedName name="____________USD99">[1]ЗАО_н.ит!#REF!</definedName>
    <definedName name="____________wrn1" hidden="1">{"glc1",#N/A,FALSE,"GLC";"glc2",#N/A,FALSE,"GLC";"glc3",#N/A,FALSE,"GLC";"glc4",#N/A,FALSE,"GLC";"glc5",#N/A,FALSE,"GLC"}</definedName>
    <definedName name="____________wrn2" hidden="1">{"glc1",#N/A,FALSE,"GLC";"glc2",#N/A,FALSE,"GLC";"glc3",#N/A,FALSE,"GLC";"glc4",#N/A,FALSE,"GLC";"glc5",#N/A,FALSE,"GLC"}</definedName>
    <definedName name="____________wrn222" hidden="1">{"glc1",#N/A,FALSE,"GLC";"glc2",#N/A,FALSE,"GLC";"glc3",#N/A,FALSE,"GLC";"glc4",#N/A,FALSE,"GLC";"glc5",#N/A,FALSE,"GLC"}</definedName>
    <definedName name="___________c" hidden="1">{"ÜBERSICHT",#N/A,FALSE,"ABW KUM";"Kostenzoom",#N/A,FALSE,"ABW KUM";"ÜBERSICHT",#N/A,FALSE,"ABW HORE";"Kostenzoom",#N/A,FALSE,"ABW HORE"}</definedName>
    <definedName name="___________CF2" hidden="1">{"Output%",#N/A,FALSE,"Output"}</definedName>
    <definedName name="___________RAC1" hidden="1">#REF!</definedName>
    <definedName name="___________rwb2" hidden="1">{#N/A,#N/A,FALSE,"Aging Summary";#N/A,#N/A,FALSE,"Ratio Analysis";#N/A,#N/A,FALSE,"Test 120 Day Accts";#N/A,#N/A,FALSE,"Tickmarks"}</definedName>
    <definedName name="___________rwn1" hidden="1">{#N/A,#N/A,FALSE,"Aging Summary";#N/A,#N/A,FALSE,"Ratio Analysis";#N/A,#N/A,FALSE,"Test 120 Day Accts";#N/A,#N/A,FALSE,"Tickmarks"}</definedName>
    <definedName name="___________rwn10" hidden="1">{#N/A,#N/A,FALSE,"Aging Summary";#N/A,#N/A,FALSE,"Ratio Analysis";#N/A,#N/A,FALSE,"Test 120 Day Accts";#N/A,#N/A,FALSE,"Tickmarks"}</definedName>
    <definedName name="___________rwn3" hidden="1">{"assets",#N/A,FALSE,"historicBS";"liab",#N/A,FALSE,"historicBS";"is",#N/A,FALSE,"historicIS";"ratios",#N/A,FALSE,"ratios"}</definedName>
    <definedName name="___________rwn4" hidden="1">{"assets",#N/A,FALSE,"historicBS";"liab",#N/A,FALSE,"historicBS";"is",#N/A,FALSE,"historicIS";"ratios",#N/A,FALSE,"ratios"}</definedName>
    <definedName name="___________rwn5" hidden="1">{"glcbs",#N/A,FALSE,"GLCBS";"glccsbs",#N/A,FALSE,"GLCCSBS";"glcis",#N/A,FALSE,"GLCIS";"glccsis",#N/A,FALSE,"GLCCSIS";"glcrat1",#N/A,FALSE,"GLC-ratios1"}</definedName>
    <definedName name="___________rwn6" hidden="1">{"glc1",#N/A,FALSE,"GLC";"glc2",#N/A,FALSE,"GLC";"glc3",#N/A,FALSE,"GLC";"glc4",#N/A,FALSE,"GLC";"glc5",#N/A,FALSE,"GLC"}</definedName>
    <definedName name="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rwn8" hidden="1">{"glc1",#N/A,FALSE,"GLC";"glc2",#N/A,FALSE,"GLC";"glc3",#N/A,FALSE,"GLC";"glc4",#N/A,FALSE,"GLC";"glc5",#N/A,FALSE,"GLC"}</definedName>
    <definedName name="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SDU99">[1]ЗАО_н.ит!#REF!</definedName>
    <definedName name="___________USD99">[1]ЗАО_н.ит!#REF!</definedName>
    <definedName name="___________wrn1" hidden="1">{"glc1",#N/A,FALSE,"GLC";"glc2",#N/A,FALSE,"GLC";"glc3",#N/A,FALSE,"GLC";"glc4",#N/A,FALSE,"GLC";"glc5",#N/A,FALSE,"GLC"}</definedName>
    <definedName name="___________wrn2" hidden="1">{"glc1",#N/A,FALSE,"GLC";"glc2",#N/A,FALSE,"GLC";"glc3",#N/A,FALSE,"GLC";"glc4",#N/A,FALSE,"GLC";"glc5",#N/A,FALSE,"GLC"}</definedName>
    <definedName name="___________wrn222" hidden="1">{"glc1",#N/A,FALSE,"GLC";"glc2",#N/A,FALSE,"GLC";"glc3",#N/A,FALSE,"GLC";"glc4",#N/A,FALSE,"GLC";"glc5",#N/A,FALSE,"GLC"}</definedName>
    <definedName name="__________c" hidden="1">{"ÜBERSICHT",#N/A,FALSE,"ABW KUM";"Kostenzoom",#N/A,FALSE,"ABW KUM";"ÜBERSICHT",#N/A,FALSE,"ABW HORE";"Kostenzoom",#N/A,FALSE,"ABW HORE"}</definedName>
    <definedName name="__________CF2" hidden="1">{"Output%",#N/A,FALSE,"Output"}</definedName>
    <definedName name="__________RAC1" hidden="1">#REF!</definedName>
    <definedName name="__________rwb2" hidden="1">{#N/A,#N/A,FALSE,"Aging Summary";#N/A,#N/A,FALSE,"Ratio Analysis";#N/A,#N/A,FALSE,"Test 120 Day Accts";#N/A,#N/A,FALSE,"Tickmarks"}</definedName>
    <definedName name="__________rwn1" hidden="1">{#N/A,#N/A,FALSE,"Aging Summary";#N/A,#N/A,FALSE,"Ratio Analysis";#N/A,#N/A,FALSE,"Test 120 Day Accts";#N/A,#N/A,FALSE,"Tickmarks"}</definedName>
    <definedName name="__________rwn10" hidden="1">{#N/A,#N/A,FALSE,"Aging Summary";#N/A,#N/A,FALSE,"Ratio Analysis";#N/A,#N/A,FALSE,"Test 120 Day Accts";#N/A,#N/A,FALSE,"Tickmarks"}</definedName>
    <definedName name="__________rwn3" hidden="1">{"assets",#N/A,FALSE,"historicBS";"liab",#N/A,FALSE,"historicBS";"is",#N/A,FALSE,"historicIS";"ratios",#N/A,FALSE,"ratios"}</definedName>
    <definedName name="__________rwn4" hidden="1">{"assets",#N/A,FALSE,"historicBS";"liab",#N/A,FALSE,"historicBS";"is",#N/A,FALSE,"historicIS";"ratios",#N/A,FALSE,"ratios"}</definedName>
    <definedName name="__________rwn5" hidden="1">{"glcbs",#N/A,FALSE,"GLCBS";"glccsbs",#N/A,FALSE,"GLCCSBS";"glcis",#N/A,FALSE,"GLCIS";"glccsis",#N/A,FALSE,"GLCCSIS";"glcrat1",#N/A,FALSE,"GLC-ratios1"}</definedName>
    <definedName name="__________rwn6" hidden="1">{"glc1",#N/A,FALSE,"GLC";"glc2",#N/A,FALSE,"GLC";"glc3",#N/A,FALSE,"GLC";"glc4",#N/A,FALSE,"GLC";"glc5",#N/A,FALSE,"GLC"}</definedName>
    <definedName name="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rwn8" hidden="1">{"glc1",#N/A,FALSE,"GLC";"glc2",#N/A,FALSE,"GLC";"glc3",#N/A,FALSE,"GLC";"glc4",#N/A,FALSE,"GLC";"glc5",#N/A,FALSE,"GLC"}</definedName>
    <definedName name="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SDU99">[1]ЗАО_н.ит!#REF!</definedName>
    <definedName name="__________USD99">[1]ЗАО_н.ит!#REF!</definedName>
    <definedName name="__________wrn1" hidden="1">{"glc1",#N/A,FALSE,"GLC";"glc2",#N/A,FALSE,"GLC";"glc3",#N/A,FALSE,"GLC";"glc4",#N/A,FALSE,"GLC";"glc5",#N/A,FALSE,"GLC"}</definedName>
    <definedName name="__________wrn2" hidden="1">{"glc1",#N/A,FALSE,"GLC";"glc2",#N/A,FALSE,"GLC";"glc3",#N/A,FALSE,"GLC";"glc4",#N/A,FALSE,"GLC";"glc5",#N/A,FALSE,"GLC"}</definedName>
    <definedName name="__________wrn222" hidden="1">{"glc1",#N/A,FALSE,"GLC";"glc2",#N/A,FALSE,"GLC";"glc3",#N/A,FALSE,"GLC";"glc4",#N/A,FALSE,"GLC";"glc5",#N/A,FALSE,"GLC"}</definedName>
    <definedName name="_________c" hidden="1">{"ÜBERSICHT",#N/A,FALSE,"ABW KUM";"Kostenzoom",#N/A,FALSE,"ABW KUM";"ÜBERSICHT",#N/A,FALSE,"ABW HORE";"Kostenzoom",#N/A,FALSE,"ABW HORE"}</definedName>
    <definedName name="_________CF2" hidden="1">{"Output%",#N/A,FALSE,"Output"}</definedName>
    <definedName name="_________RAC1" hidden="1">#REF!</definedName>
    <definedName name="_________rwb2" hidden="1">{#N/A,#N/A,FALSE,"Aging Summary";#N/A,#N/A,FALSE,"Ratio Analysis";#N/A,#N/A,FALSE,"Test 120 Day Accts";#N/A,#N/A,FALSE,"Tickmarks"}</definedName>
    <definedName name="_________rwn1" hidden="1">{#N/A,#N/A,FALSE,"Aging Summary";#N/A,#N/A,FALSE,"Ratio Analysis";#N/A,#N/A,FALSE,"Test 120 Day Accts";#N/A,#N/A,FALSE,"Tickmarks"}</definedName>
    <definedName name="_________rwn10" hidden="1">{#N/A,#N/A,FALSE,"Aging Summary";#N/A,#N/A,FALSE,"Ratio Analysis";#N/A,#N/A,FALSE,"Test 120 Day Accts";#N/A,#N/A,FALSE,"Tickmarks"}</definedName>
    <definedName name="_________rwn3" hidden="1">{"assets",#N/A,FALSE,"historicBS";"liab",#N/A,FALSE,"historicBS";"is",#N/A,FALSE,"historicIS";"ratios",#N/A,FALSE,"ratios"}</definedName>
    <definedName name="_________rwn4" hidden="1">{"assets",#N/A,FALSE,"historicBS";"liab",#N/A,FALSE,"historicBS";"is",#N/A,FALSE,"historicIS";"ratios",#N/A,FALSE,"ratios"}</definedName>
    <definedName name="_________rwn5" hidden="1">{"glcbs",#N/A,FALSE,"GLCBS";"glccsbs",#N/A,FALSE,"GLCCSBS";"glcis",#N/A,FALSE,"GLCIS";"glccsis",#N/A,FALSE,"GLCCSIS";"glcrat1",#N/A,FALSE,"GLC-ratios1"}</definedName>
    <definedName name="_________rwn6" hidden="1">{"glc1",#N/A,FALSE,"GLC";"glc2",#N/A,FALSE,"GLC";"glc3",#N/A,FALSE,"GLC";"glc4",#N/A,FALSE,"GLC";"glc5",#N/A,FALSE,"GLC"}</definedName>
    <definedName name="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rwn8" hidden="1">{"glc1",#N/A,FALSE,"GLC";"glc2",#N/A,FALSE,"GLC";"glc3",#N/A,FALSE,"GLC";"glc4",#N/A,FALSE,"GLC";"glc5",#N/A,FALSE,"GLC"}</definedName>
    <definedName name="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SDU99">[1]ЗАО_н.ит!#REF!</definedName>
    <definedName name="_________SQ1">[2]Исход.инф.!$B$7</definedName>
    <definedName name="_________SQ2">[2]Исход.инф.!$B$8</definedName>
    <definedName name="_________SQ3">[2]Исход.инф.!$B$9</definedName>
    <definedName name="_________SQ4">[2]Исход.инф.!$B$10</definedName>
    <definedName name="_________USD99">[1]ЗАО_н.ит!#REF!</definedName>
    <definedName name="_________wrn1" hidden="1">{"glc1",#N/A,FALSE,"GLC";"glc2",#N/A,FALSE,"GLC";"glc3",#N/A,FALSE,"GLC";"glc4",#N/A,FALSE,"GLC";"glc5",#N/A,FALSE,"GLC"}</definedName>
    <definedName name="_________wrn2" hidden="1">{"glc1",#N/A,FALSE,"GLC";"glc2",#N/A,FALSE,"GLC";"glc3",#N/A,FALSE,"GLC";"glc4",#N/A,FALSE,"GLC";"glc5",#N/A,FALSE,"GLC"}</definedName>
    <definedName name="_________wrn222" hidden="1">{"glc1",#N/A,FALSE,"GLC";"glc2",#N/A,FALSE,"GLC";"glc3",#N/A,FALSE,"GLC";"glc4",#N/A,FALSE,"GLC";"glc5",#N/A,FALSE,"GLC"}</definedName>
    <definedName name="________c" hidden="1">{"ÜBERSICHT",#N/A,FALSE,"ABW KUM";"Kostenzoom",#N/A,FALSE,"ABW KUM";"ÜBERSICHT",#N/A,FALSE,"ABW HORE";"Kostenzoom",#N/A,FALSE,"ABW HORE"}</definedName>
    <definedName name="________CF2" hidden="1">{"Output%",#N/A,FALSE,"Output"}</definedName>
    <definedName name="________hkf8" hidden="1">{"glc1",#N/A,FALSE,"GLC";"glc2",#N/A,FALSE,"GLC";"glc3",#N/A,FALSE,"GLC";"glc4",#N/A,FALSE,"GLC";"glc5",#N/A,FALSE,"GLC"}</definedName>
    <definedName name="________RAC1" hidden="1">#REF!</definedName>
    <definedName name="________rwb2" hidden="1">{#N/A,#N/A,FALSE,"Aging Summary";#N/A,#N/A,FALSE,"Ratio Analysis";#N/A,#N/A,FALSE,"Test 120 Day Accts";#N/A,#N/A,FALSE,"Tickmarks"}</definedName>
    <definedName name="________rwn1" hidden="1">{#N/A,#N/A,FALSE,"Aging Summary";#N/A,#N/A,FALSE,"Ratio Analysis";#N/A,#N/A,FALSE,"Test 120 Day Accts";#N/A,#N/A,FALSE,"Tickmarks"}</definedName>
    <definedName name="________rwn10" hidden="1">{#N/A,#N/A,FALSE,"Aging Summary";#N/A,#N/A,FALSE,"Ratio Analysis";#N/A,#N/A,FALSE,"Test 120 Day Accts";#N/A,#N/A,FALSE,"Tickmarks"}</definedName>
    <definedName name="________rwn3" hidden="1">{"assets",#N/A,FALSE,"historicBS";"liab",#N/A,FALSE,"historicBS";"is",#N/A,FALSE,"historicIS";"ratios",#N/A,FALSE,"ratios"}</definedName>
    <definedName name="________rwn4" hidden="1">{"assets",#N/A,FALSE,"historicBS";"liab",#N/A,FALSE,"historicBS";"is",#N/A,FALSE,"historicIS";"ratios",#N/A,FALSE,"ratios"}</definedName>
    <definedName name="________rwn5" hidden="1">{"glcbs",#N/A,FALSE,"GLCBS";"glccsbs",#N/A,FALSE,"GLCCSBS";"glcis",#N/A,FALSE,"GLCIS";"glccsis",#N/A,FALSE,"GLCCSIS";"glcrat1",#N/A,FALSE,"GLC-ratios1"}</definedName>
    <definedName name="________rwn6" hidden="1">{"glc1",#N/A,FALSE,"GLC";"glc2",#N/A,FALSE,"GLC";"glc3",#N/A,FALSE,"GLC";"glc4",#N/A,FALSE,"GLC";"glc5",#N/A,FALSE,"GLC"}</definedName>
    <definedName name="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rwn8" hidden="1">{"glc1",#N/A,FALSE,"GLC";"glc2",#N/A,FALSE,"GLC";"glc3",#N/A,FALSE,"GLC";"glc4",#N/A,FALSE,"GLC";"glc5",#N/A,FALSE,"GLC"}</definedName>
    <definedName name="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SDU99">[1]ЗАО_н.ит!#REF!</definedName>
    <definedName name="________SQ1">[2]Исход.инф.!$B$7</definedName>
    <definedName name="________SQ2">[2]Исход.инф.!$B$8</definedName>
    <definedName name="________SQ3">[2]Исход.инф.!$B$9</definedName>
    <definedName name="________SQ4">[2]Исход.инф.!$B$10</definedName>
    <definedName name="________USD99">[1]ЗАО_н.ит!#REF!</definedName>
    <definedName name="________wrn1" hidden="1">{"glc1",#N/A,FALSE,"GLC";"glc2",#N/A,FALSE,"GLC";"glc3",#N/A,FALSE,"GLC";"glc4",#N/A,FALSE,"GLC";"glc5",#N/A,FALSE,"GLC"}</definedName>
    <definedName name="________wrn2" hidden="1">{"glc1",#N/A,FALSE,"GLC";"glc2",#N/A,FALSE,"GLC";"glc3",#N/A,FALSE,"GLC";"glc4",#N/A,FALSE,"GLC";"glc5",#N/A,FALSE,"GLC"}</definedName>
    <definedName name="________wrn222" hidden="1">{"glc1",#N/A,FALSE,"GLC";"glc2",#N/A,FALSE,"GLC";"glc3",#N/A,FALSE,"GLC";"glc4",#N/A,FALSE,"GLC";"glc5",#N/A,FALSE,"GLC"}</definedName>
    <definedName name="________xlfn.AVERAGEIF" hidden="1">#NAME?</definedName>
    <definedName name="_______c" hidden="1">{"ÜBERSICHT",#N/A,FALSE,"ABW KUM";"Kostenzoom",#N/A,FALSE,"ABW KUM";"ÜBERSICHT",#N/A,FALSE,"ABW HORE";"Kostenzoom",#N/A,FALSE,"ABW HORE"}</definedName>
    <definedName name="_______CF2" hidden="1">{"Output%",#N/A,FALSE,"Output"}</definedName>
    <definedName name="_______hkf8" hidden="1">{"glc1",#N/A,FALSE,"GLC";"glc2",#N/A,FALSE,"GLC";"glc3",#N/A,FALSE,"GLC";"glc4",#N/A,FALSE,"GLC";"glc5",#N/A,FALSE,"GLC"}</definedName>
    <definedName name="_______PR1">#REF!</definedName>
    <definedName name="_______PR2">#REF!</definedName>
    <definedName name="_______PR3">#REF!</definedName>
    <definedName name="_______PR4">#REF!</definedName>
    <definedName name="_______PR5">#REF!</definedName>
    <definedName name="_______RAC1" hidden="1">#REF!</definedName>
    <definedName name="_______RI1">#REF!</definedName>
    <definedName name="_______RR1">#REF!</definedName>
    <definedName name="_______rwb2" hidden="1">{#N/A,#N/A,FALSE,"Aging Summary";#N/A,#N/A,FALSE,"Ratio Analysis";#N/A,#N/A,FALSE,"Test 120 Day Accts";#N/A,#N/A,FALSE,"Tickmarks"}</definedName>
    <definedName name="_______rwn1" hidden="1">{#N/A,#N/A,FALSE,"Aging Summary";#N/A,#N/A,FALSE,"Ratio Analysis";#N/A,#N/A,FALSE,"Test 120 Day Accts";#N/A,#N/A,FALSE,"Tickmarks"}</definedName>
    <definedName name="_______rwn10" hidden="1">{#N/A,#N/A,FALSE,"Aging Summary";#N/A,#N/A,FALSE,"Ratio Analysis";#N/A,#N/A,FALSE,"Test 120 Day Accts";#N/A,#N/A,FALSE,"Tickmarks"}</definedName>
    <definedName name="_______rwn3" hidden="1">{"assets",#N/A,FALSE,"historicBS";"liab",#N/A,FALSE,"historicBS";"is",#N/A,FALSE,"historicIS";"ratios",#N/A,FALSE,"ratios"}</definedName>
    <definedName name="_______rwn4" hidden="1">{"assets",#N/A,FALSE,"historicBS";"liab",#N/A,FALSE,"historicBS";"is",#N/A,FALSE,"historicIS";"ratios",#N/A,FALSE,"ratios"}</definedName>
    <definedName name="_______rwn5" hidden="1">{"glcbs",#N/A,FALSE,"GLCBS";"glccsbs",#N/A,FALSE,"GLCCSBS";"glcis",#N/A,FALSE,"GLCIS";"glccsis",#N/A,FALSE,"GLCCSIS";"glcrat1",#N/A,FALSE,"GLC-ratios1"}</definedName>
    <definedName name="_______rwn6" hidden="1">{"glc1",#N/A,FALSE,"GLC";"glc2",#N/A,FALSE,"GLC";"glc3",#N/A,FALSE,"GLC";"glc4",#N/A,FALSE,"GLC";"glc5",#N/A,FALSE,"GLC"}</definedName>
    <definedName name="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rwn8" hidden="1">{"glc1",#N/A,FALSE,"GLC";"glc2",#N/A,FALSE,"GLC";"glc3",#N/A,FALSE,"GLC";"glc4",#N/A,FALSE,"GLC";"glc5",#N/A,FALSE,"GLC"}</definedName>
    <definedName name="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SDU99">[1]ЗАО_н.ит!#REF!</definedName>
    <definedName name="_______SQ1">[3]Исход.инф.!$B$7</definedName>
    <definedName name="_______SQ2">[3]Исход.инф.!$B$8</definedName>
    <definedName name="_______SQ3">[3]Исход.инф.!$B$9</definedName>
    <definedName name="_______SQ4">[3]Исход.инф.!$B$10</definedName>
    <definedName name="_______USD99">[1]ЗАО_н.ит!#REF!</definedName>
    <definedName name="_______wrn1" hidden="1">{"glc1",#N/A,FALSE,"GLC";"glc2",#N/A,FALSE,"GLC";"glc3",#N/A,FALSE,"GLC";"glc4",#N/A,FALSE,"GLC";"glc5",#N/A,FALSE,"GLC"}</definedName>
    <definedName name="_______wrn2" hidden="1">{"glc1",#N/A,FALSE,"GLC";"glc2",#N/A,FALSE,"GLC";"glc3",#N/A,FALSE,"GLC";"glc4",#N/A,FALSE,"GLC";"glc5",#N/A,FALSE,"GLC"}</definedName>
    <definedName name="_______wrn222" hidden="1">{"glc1",#N/A,FALSE,"GLC";"glc2",#N/A,FALSE,"GLC";"glc3",#N/A,FALSE,"GLC";"glc4",#N/A,FALSE,"GLC";"glc5",#N/A,FALSE,"GLC"}</definedName>
    <definedName name="_______xlfn.AVERAGEIF" hidden="1">#NAME?</definedName>
    <definedName name="______c" hidden="1">{"ÜBERSICHT",#N/A,FALSE,"ABW KUM";"Kostenzoom",#N/A,FALSE,"ABW KUM";"ÜBERSICHT",#N/A,FALSE,"ABW HORE";"Kostenzoom",#N/A,FALSE,"ABW HORE"}</definedName>
    <definedName name="______CF2" hidden="1">{"Output%",#N/A,FALSE,"Output"}</definedName>
    <definedName name="______j1">#REF!</definedName>
    <definedName name="______PR1">#REF!</definedName>
    <definedName name="______PR2">#REF!</definedName>
    <definedName name="______PR3">#REF!</definedName>
    <definedName name="______PR4">#REF!</definedName>
    <definedName name="______PR5">#REF!</definedName>
    <definedName name="______RAC1" hidden="1">#REF!</definedName>
    <definedName name="______RI1">#REF!</definedName>
    <definedName name="______RR1">#REF!</definedName>
    <definedName name="______rwb2" hidden="1">{#N/A,#N/A,FALSE,"Aging Summary";#N/A,#N/A,FALSE,"Ratio Analysis";#N/A,#N/A,FALSE,"Test 120 Day Accts";#N/A,#N/A,FALSE,"Tickmarks"}</definedName>
    <definedName name="______rwn1" hidden="1">{#N/A,#N/A,FALSE,"Aging Summary";#N/A,#N/A,FALSE,"Ratio Analysis";#N/A,#N/A,FALSE,"Test 120 Day Accts";#N/A,#N/A,FALSE,"Tickmarks"}</definedName>
    <definedName name="______rwn10" hidden="1">{#N/A,#N/A,FALSE,"Aging Summary";#N/A,#N/A,FALSE,"Ratio Analysis";#N/A,#N/A,FALSE,"Test 120 Day Accts";#N/A,#N/A,FALSE,"Tickmarks"}</definedName>
    <definedName name="______rwn3" hidden="1">{"assets",#N/A,FALSE,"historicBS";"liab",#N/A,FALSE,"historicBS";"is",#N/A,FALSE,"historicIS";"ratios",#N/A,FALSE,"ratios"}</definedName>
    <definedName name="______rwn4" hidden="1">{"assets",#N/A,FALSE,"historicBS";"liab",#N/A,FALSE,"historicBS";"is",#N/A,FALSE,"historicIS";"ratios",#N/A,FALSE,"ratios"}</definedName>
    <definedName name="______rwn5" hidden="1">{"glcbs",#N/A,FALSE,"GLCBS";"glccsbs",#N/A,FALSE,"GLCCSBS";"glcis",#N/A,FALSE,"GLCIS";"glccsis",#N/A,FALSE,"GLCCSIS";"glcrat1",#N/A,FALSE,"GLC-ratios1"}</definedName>
    <definedName name="______rwn6" hidden="1">{"glc1",#N/A,FALSE,"GLC";"glc2",#N/A,FALSE,"GLC";"glc3",#N/A,FALSE,"GLC";"glc4",#N/A,FALSE,"GLC";"glc5",#N/A,FALSE,"GLC"}</definedName>
    <definedName name="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rwn8" hidden="1">{"glc1",#N/A,FALSE,"GLC";"glc2",#N/A,FALSE,"GLC";"glc3",#N/A,FALSE,"GLC";"glc4",#N/A,FALSE,"GLC";"glc5",#N/A,FALSE,"GLC"}</definedName>
    <definedName name="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SDU99">[1]ЗАО_н.ит!#REF!</definedName>
    <definedName name="______SQ1">[3]Исход.инф.!$B$7</definedName>
    <definedName name="______SQ2">[3]Исход.инф.!$B$8</definedName>
    <definedName name="______SQ3">[3]Исход.инф.!$B$9</definedName>
    <definedName name="______SQ4">[3]Исход.инф.!$B$10</definedName>
    <definedName name="______USD99">[1]ЗАО_н.ит!#REF!</definedName>
    <definedName name="______wrn1" hidden="1">{"glc1",#N/A,FALSE,"GLC";"glc2",#N/A,FALSE,"GLC";"glc3",#N/A,FALSE,"GLC";"glc4",#N/A,FALSE,"GLC";"glc5",#N/A,FALSE,"GLC"}</definedName>
    <definedName name="______wrn2" hidden="1">{"glc1",#N/A,FALSE,"GLC";"glc2",#N/A,FALSE,"GLC";"glc3",#N/A,FALSE,"GLC";"glc4",#N/A,FALSE,"GLC";"glc5",#N/A,FALSE,"GLC"}</definedName>
    <definedName name="______wrn222" hidden="1">{"glc1",#N/A,FALSE,"GLC";"glc2",#N/A,FALSE,"GLC";"glc3",#N/A,FALSE,"GLC";"glc4",#N/A,FALSE,"GLC";"glc5",#N/A,FALSE,"GLC"}</definedName>
    <definedName name="______xlfn.AVERAGEIF" hidden="1">#NAME?</definedName>
    <definedName name="_____1">#REF!</definedName>
    <definedName name="_____10">#REF!</definedName>
    <definedName name="_____100">#REF!</definedName>
    <definedName name="_____101">#REF!</definedName>
    <definedName name="_____102">#REF!</definedName>
    <definedName name="_____103">#REF!</definedName>
    <definedName name="_____104">#REF!</definedName>
    <definedName name="_____105">#REF!</definedName>
    <definedName name="_____106">#REF!</definedName>
    <definedName name="_____107">#REF!</definedName>
    <definedName name="_____108">#REF!</definedName>
    <definedName name="_____109">#REF!</definedName>
    <definedName name="_____11">#REF!</definedName>
    <definedName name="_____110">#REF!</definedName>
    <definedName name="_____111">#REF!</definedName>
    <definedName name="_____112">#REF!</definedName>
    <definedName name="_____113">#REF!</definedName>
    <definedName name="_____114">#REF!</definedName>
    <definedName name="_____115">#REF!</definedName>
    <definedName name="_____116">#REF!</definedName>
    <definedName name="_____117">#REF!</definedName>
    <definedName name="_____118">#REF!</definedName>
    <definedName name="_____119">#REF!</definedName>
    <definedName name="_____12">#REF!</definedName>
    <definedName name="_____120">#REF!</definedName>
    <definedName name="_____121">#REF!</definedName>
    <definedName name="_____122">#REF!</definedName>
    <definedName name="_____123">#REF!</definedName>
    <definedName name="_____124">#REF!</definedName>
    <definedName name="_____125">#REF!</definedName>
    <definedName name="_____126">#REF!</definedName>
    <definedName name="_____127">[4]Лист1!#REF!</definedName>
    <definedName name="_____128">#REF!</definedName>
    <definedName name="_____129">#REF!</definedName>
    <definedName name="_____13">#REF!</definedName>
    <definedName name="_____130">#REF!</definedName>
    <definedName name="_____131">[4]Лист1!#REF!</definedName>
    <definedName name="_____132">#REF!</definedName>
    <definedName name="_____133">#REF!</definedName>
    <definedName name="_____134">#REF!</definedName>
    <definedName name="_____135">#REF!</definedName>
    <definedName name="_____136">#REF!</definedName>
    <definedName name="_____137">#REF!</definedName>
    <definedName name="_____138">#REF!</definedName>
    <definedName name="_____139">#REF!</definedName>
    <definedName name="_____14">#REF!</definedName>
    <definedName name="_____140">#REF!</definedName>
    <definedName name="_____141">#REF!</definedName>
    <definedName name="_____142">#REF!</definedName>
    <definedName name="_____143">#REF!</definedName>
    <definedName name="_____144">#REF!</definedName>
    <definedName name="_____145">#REF!</definedName>
    <definedName name="_____146">#REF!</definedName>
    <definedName name="_____147">#REF!</definedName>
    <definedName name="_____148">#REF!</definedName>
    <definedName name="_____149">#REF!</definedName>
    <definedName name="_____15">[4]Лист1!#REF!</definedName>
    <definedName name="_____150">#REF!</definedName>
    <definedName name="_____151">#REF!</definedName>
    <definedName name="_____152">#REF!</definedName>
    <definedName name="_____153">[4]Лист1!#REF!</definedName>
    <definedName name="_____154">#REF!</definedName>
    <definedName name="_____155">#REF!</definedName>
    <definedName name="_____156">#REF!</definedName>
    <definedName name="_____157">#REF!</definedName>
    <definedName name="_____158">#REF!</definedName>
    <definedName name="_____159">#REF!</definedName>
    <definedName name="_____16">#REF!</definedName>
    <definedName name="_____160">[4]Лист1!#REF!</definedName>
    <definedName name="_____161">#REF!</definedName>
    <definedName name="_____162">#REF!</definedName>
    <definedName name="_____163">#REF!</definedName>
    <definedName name="_____164">#REF!</definedName>
    <definedName name="_____165">[4]Лист1!#REF!</definedName>
    <definedName name="_____166">#REF!</definedName>
    <definedName name="_____167">#REF!</definedName>
    <definedName name="_____168">#REF!</definedName>
    <definedName name="_____169">#REF!</definedName>
    <definedName name="_____17">#REF!</definedName>
    <definedName name="_____170">#REF!</definedName>
    <definedName name="_____171">#REF!</definedName>
    <definedName name="_____172">#REF!</definedName>
    <definedName name="_____173">#REF!</definedName>
    <definedName name="_____174">#REF!</definedName>
    <definedName name="_____175">#REF!</definedName>
    <definedName name="_____176">#REF!</definedName>
    <definedName name="_____177">#REF!</definedName>
    <definedName name="_____178">#REF!</definedName>
    <definedName name="_____179">#REF!</definedName>
    <definedName name="_____18">#REF!</definedName>
    <definedName name="_____180">#REF!</definedName>
    <definedName name="_____181">#REF!</definedName>
    <definedName name="_____182">#REF!</definedName>
    <definedName name="_____183">#REF!</definedName>
    <definedName name="_____184">#REF!</definedName>
    <definedName name="_____185">#REF!</definedName>
    <definedName name="_____186">#REF!</definedName>
    <definedName name="_____187">#REF!</definedName>
    <definedName name="_____188">#REF!</definedName>
    <definedName name="_____189">#REF!</definedName>
    <definedName name="_____19">#REF!</definedName>
    <definedName name="_____190">#REF!</definedName>
    <definedName name="_____191">#REF!</definedName>
    <definedName name="_____192">#REF!</definedName>
    <definedName name="_____193">#REF!</definedName>
    <definedName name="_____194">#REF!</definedName>
    <definedName name="_____195">#REF!</definedName>
    <definedName name="_____196">#REF!</definedName>
    <definedName name="_____197">#REF!</definedName>
    <definedName name="_____198">#REF!</definedName>
    <definedName name="_____199">#REF!</definedName>
    <definedName name="_____2">#REF!</definedName>
    <definedName name="_____20">#REF!</definedName>
    <definedName name="_____200">#REF!</definedName>
    <definedName name="_____201">#REF!</definedName>
    <definedName name="_____202">#REF!</definedName>
    <definedName name="_____203">#REF!</definedName>
    <definedName name="_____204">#REF!</definedName>
    <definedName name="_____205">#REF!</definedName>
    <definedName name="_____206">#REF!</definedName>
    <definedName name="_____207">#REF!</definedName>
    <definedName name="_____208">#REF!</definedName>
    <definedName name="_____209">#REF!</definedName>
    <definedName name="_____21">#REF!</definedName>
    <definedName name="_____210">#REF!</definedName>
    <definedName name="_____211">#REF!</definedName>
    <definedName name="_____212">#REF!</definedName>
    <definedName name="_____213">#REF!</definedName>
    <definedName name="_____214">#REF!</definedName>
    <definedName name="_____215">#REF!</definedName>
    <definedName name="_____216">#REF!</definedName>
    <definedName name="_____217">#REF!</definedName>
    <definedName name="_____218">#REF!</definedName>
    <definedName name="_____219">#REF!</definedName>
    <definedName name="_____22">#REF!</definedName>
    <definedName name="_____220">#REF!</definedName>
    <definedName name="_____221">#REF!</definedName>
    <definedName name="_____222">#REF!</definedName>
    <definedName name="_____223">#REF!</definedName>
    <definedName name="_____224">#REF!</definedName>
    <definedName name="_____225">#REF!</definedName>
    <definedName name="_____226">#REF!</definedName>
    <definedName name="_____227">#REF!</definedName>
    <definedName name="_____228">#REF!</definedName>
    <definedName name="_____229">#REF!</definedName>
    <definedName name="_____23">#REF!</definedName>
    <definedName name="_____230">#REF!</definedName>
    <definedName name="_____231">#REF!</definedName>
    <definedName name="_____232">#REF!</definedName>
    <definedName name="_____233">#REF!</definedName>
    <definedName name="_____234">#REF!</definedName>
    <definedName name="_____235">#REF!</definedName>
    <definedName name="_____236">#REF!</definedName>
    <definedName name="_____237">#REF!</definedName>
    <definedName name="_____238">#REF!</definedName>
    <definedName name="_____239">#REF!</definedName>
    <definedName name="_____24">#REF!</definedName>
    <definedName name="_____240">#REF!</definedName>
    <definedName name="_____241">#REF!</definedName>
    <definedName name="_____242">[4]Лист1!#REF!</definedName>
    <definedName name="_____243">[4]Лист1!#REF!</definedName>
    <definedName name="_____244">#REF!</definedName>
    <definedName name="_____245">#REF!</definedName>
    <definedName name="_____246">#REF!</definedName>
    <definedName name="_____247">#REF!</definedName>
    <definedName name="_____248">#REF!</definedName>
    <definedName name="_____249">[4]Лист1!#REF!</definedName>
    <definedName name="_____25">#REF!</definedName>
    <definedName name="_____250">#REF!</definedName>
    <definedName name="_____251">#REF!</definedName>
    <definedName name="_____252">#REF!</definedName>
    <definedName name="_____253">#REF!</definedName>
    <definedName name="_____254">#REF!</definedName>
    <definedName name="_____255">[4]Лист1!#REF!</definedName>
    <definedName name="_____256">#REF!</definedName>
    <definedName name="_____26">#REF!</definedName>
    <definedName name="_____27">#REF!</definedName>
    <definedName name="_____28">#REF!</definedName>
    <definedName name="_____29">#REF!</definedName>
    <definedName name="_____3">#REF!</definedName>
    <definedName name="_____30">#REF!</definedName>
    <definedName name="_____31">#REF!</definedName>
    <definedName name="_____32">#REF!</definedName>
    <definedName name="_____33">#REF!</definedName>
    <definedName name="_____34">#REF!</definedName>
    <definedName name="_____35">#REF!</definedName>
    <definedName name="_____36">#REF!</definedName>
    <definedName name="_____37">#REF!</definedName>
    <definedName name="_____38">#REF!</definedName>
    <definedName name="_____39">#REF!</definedName>
    <definedName name="_____4">#REF!</definedName>
    <definedName name="_____40">#REF!</definedName>
    <definedName name="_____41">#REF!</definedName>
    <definedName name="_____42">#REF!</definedName>
    <definedName name="_____43">#REF!</definedName>
    <definedName name="_____44">#REF!</definedName>
    <definedName name="_____45">#REF!</definedName>
    <definedName name="_____46">#REF!</definedName>
    <definedName name="_____47">#REF!</definedName>
    <definedName name="_____48">#REF!</definedName>
    <definedName name="_____49">#REF!</definedName>
    <definedName name="_____5">#REF!</definedName>
    <definedName name="_____50">#REF!</definedName>
    <definedName name="_____51">#REF!</definedName>
    <definedName name="_____52">#REF!</definedName>
    <definedName name="_____53">#REF!</definedName>
    <definedName name="_____54">#REF!</definedName>
    <definedName name="_____55">#REF!</definedName>
    <definedName name="_____56">#REF!</definedName>
    <definedName name="_____57">[4]Лист1!#REF!</definedName>
    <definedName name="_____58">#REF!</definedName>
    <definedName name="_____59">#REF!</definedName>
    <definedName name="_____6">#REF!</definedName>
    <definedName name="_____60">#REF!</definedName>
    <definedName name="_____61">#REF!</definedName>
    <definedName name="_____62">#REF!</definedName>
    <definedName name="_____63">#REF!</definedName>
    <definedName name="_____64">#REF!</definedName>
    <definedName name="_____65">#REF!</definedName>
    <definedName name="_____66">#REF!</definedName>
    <definedName name="_____67">#REF!</definedName>
    <definedName name="_____68">#REF!</definedName>
    <definedName name="_____69">#REF!</definedName>
    <definedName name="_____7">#REF!</definedName>
    <definedName name="_____70">#REF!</definedName>
    <definedName name="_____71">#REF!</definedName>
    <definedName name="_____72">#REF!</definedName>
    <definedName name="_____73">#REF!</definedName>
    <definedName name="_____74">#REF!</definedName>
    <definedName name="_____75">#REF!</definedName>
    <definedName name="_____76">#REF!</definedName>
    <definedName name="_____77">#REF!</definedName>
    <definedName name="_____78">#REF!</definedName>
    <definedName name="_____79">#REF!</definedName>
    <definedName name="_____8">#REF!</definedName>
    <definedName name="_____80">#REF!</definedName>
    <definedName name="_____81">#REF!</definedName>
    <definedName name="_____82">#REF!</definedName>
    <definedName name="_____83">#REF!</definedName>
    <definedName name="_____84">#REF!</definedName>
    <definedName name="_____85">#REF!</definedName>
    <definedName name="_____86">#REF!</definedName>
    <definedName name="_____87">#REF!</definedName>
    <definedName name="_____88">#REF!</definedName>
    <definedName name="_____89">#REF!</definedName>
    <definedName name="_____9">#REF!</definedName>
    <definedName name="_____90">[4]Лист1!#REF!</definedName>
    <definedName name="_____91">#REF!</definedName>
    <definedName name="_____92">#REF!</definedName>
    <definedName name="_____93">#REF!</definedName>
    <definedName name="_____94">#REF!</definedName>
    <definedName name="_____95">#REF!</definedName>
    <definedName name="_____96">#REF!</definedName>
    <definedName name="_____97">#REF!</definedName>
    <definedName name="_____98">#REF!</definedName>
    <definedName name="_____99">#REF!</definedName>
    <definedName name="_____c" hidden="1">{"ÜBERSICHT",#N/A,FALSE,"ABW KUM";"Kostenzoom",#N/A,FALSE,"ABW KUM";"ÜBERSICHT",#N/A,FALSE,"ABW HORE";"Kostenzoom",#N/A,FALSE,"ABW HORE"}</definedName>
    <definedName name="_____CF2" hidden="1">{"Output%",#N/A,FALSE,"Output"}</definedName>
    <definedName name="_____hkf8" hidden="1">{"glc1",#N/A,FALSE,"GLC";"glc2",#N/A,FALSE,"GLC";"glc3",#N/A,FALSE,"GLC";"glc4",#N/A,FALSE,"GLC";"glc5",#N/A,FALSE,"GLC"}</definedName>
    <definedName name="_____j1">#REF!</definedName>
    <definedName name="_____PR1">#REF!</definedName>
    <definedName name="_____PR2">#REF!</definedName>
    <definedName name="_____PR3">#REF!</definedName>
    <definedName name="_____PR4">#REF!</definedName>
    <definedName name="_____PR5">#REF!</definedName>
    <definedName name="_____RAC1" hidden="1">#REF!</definedName>
    <definedName name="_____RI1">#REF!</definedName>
    <definedName name="_____RR1">#REF!</definedName>
    <definedName name="_____rwb2" hidden="1">{#N/A,#N/A,FALSE,"Aging Summary";#N/A,#N/A,FALSE,"Ratio Analysis";#N/A,#N/A,FALSE,"Test 120 Day Accts";#N/A,#N/A,FALSE,"Tickmarks"}</definedName>
    <definedName name="_____rwn1" hidden="1">{#N/A,#N/A,FALSE,"Aging Summary";#N/A,#N/A,FALSE,"Ratio Analysis";#N/A,#N/A,FALSE,"Test 120 Day Accts";#N/A,#N/A,FALSE,"Tickmarks"}</definedName>
    <definedName name="_____rwn10" hidden="1">{#N/A,#N/A,FALSE,"Aging Summary";#N/A,#N/A,FALSE,"Ratio Analysis";#N/A,#N/A,FALSE,"Test 120 Day Accts";#N/A,#N/A,FALSE,"Tickmarks"}</definedName>
    <definedName name="_____rwn3" hidden="1">{"assets",#N/A,FALSE,"historicBS";"liab",#N/A,FALSE,"historicBS";"is",#N/A,FALSE,"historicIS";"ratios",#N/A,FALSE,"ratios"}</definedName>
    <definedName name="_____rwn4" hidden="1">{"assets",#N/A,FALSE,"historicBS";"liab",#N/A,FALSE,"historicBS";"is",#N/A,FALSE,"historicIS";"ratios",#N/A,FALSE,"ratios"}</definedName>
    <definedName name="_____rwn5" hidden="1">{"glcbs",#N/A,FALSE,"GLCBS";"glccsbs",#N/A,FALSE,"GLCCSBS";"glcis",#N/A,FALSE,"GLCIS";"glccsis",#N/A,FALSE,"GLCCSIS";"glcrat1",#N/A,FALSE,"GLC-ratios1"}</definedName>
    <definedName name="_____rwn6" hidden="1">{"glc1",#N/A,FALSE,"GLC";"glc2",#N/A,FALSE,"GLC";"glc3",#N/A,FALSE,"GLC";"glc4",#N/A,FALSE,"GLC";"glc5",#N/A,FALSE,"GLC"}</definedName>
    <definedName name="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rwn8" hidden="1">{"glc1",#N/A,FALSE,"GLC";"glc2",#N/A,FALSE,"GLC";"glc3",#N/A,FALSE,"GLC";"glc4",#N/A,FALSE,"GLC";"glc5",#N/A,FALSE,"GLC"}</definedName>
    <definedName name="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SDU99">[1]ЗАО_н.ит!#REF!</definedName>
    <definedName name="_____SQ1">[2]Исход.инф.!$B$7</definedName>
    <definedName name="_____SQ2">[2]Исход.инф.!$B$8</definedName>
    <definedName name="_____SQ3">[2]Исход.инф.!$B$9</definedName>
    <definedName name="_____SQ4">[2]Исход.инф.!$B$10</definedName>
    <definedName name="_____USD99">[1]ЗАО_н.ит!#REF!</definedName>
    <definedName name="_____wrn1" hidden="1">{"glc1",#N/A,FALSE,"GLC";"glc2",#N/A,FALSE,"GLC";"glc3",#N/A,FALSE,"GLC";"glc4",#N/A,FALSE,"GLC";"glc5",#N/A,FALSE,"GLC"}</definedName>
    <definedName name="_____wrn2" hidden="1">{"glc1",#N/A,FALSE,"GLC";"glc2",#N/A,FALSE,"GLC";"glc3",#N/A,FALSE,"GLC";"glc4",#N/A,FALSE,"GLC";"glc5",#N/A,FALSE,"GLC"}</definedName>
    <definedName name="_____wrn222" hidden="1">{"glc1",#N/A,FALSE,"GLC";"glc2",#N/A,FALSE,"GLC";"glc3",#N/A,FALSE,"GLC";"glc4",#N/A,FALSE,"GLC";"glc5",#N/A,FALSE,"GLC"}</definedName>
    <definedName name="_____xlfn.AVERAGEIF" hidden="1">#NAME?</definedName>
    <definedName name="____1">#REF!</definedName>
    <definedName name="____10">#REF!</definedName>
    <definedName name="____100">#REF!</definedName>
    <definedName name="____101">#REF!</definedName>
    <definedName name="____102">#REF!</definedName>
    <definedName name="____103">#REF!</definedName>
    <definedName name="____104">#REF!</definedName>
    <definedName name="____105">#REF!</definedName>
    <definedName name="____106">#REF!</definedName>
    <definedName name="____107">#REF!</definedName>
    <definedName name="____108">#REF!</definedName>
    <definedName name="____109">#REF!</definedName>
    <definedName name="____11">#REF!</definedName>
    <definedName name="____110">#REF!</definedName>
    <definedName name="____111">#REF!</definedName>
    <definedName name="____112">#REF!</definedName>
    <definedName name="____113">#REF!</definedName>
    <definedName name="____114">#REF!</definedName>
    <definedName name="____115">#REF!</definedName>
    <definedName name="____116">#REF!</definedName>
    <definedName name="____117">#REF!</definedName>
    <definedName name="____118">#REF!</definedName>
    <definedName name="____119">#REF!</definedName>
    <definedName name="____12">#REF!</definedName>
    <definedName name="____120">#REF!</definedName>
    <definedName name="____121">#REF!</definedName>
    <definedName name="____122">#REF!</definedName>
    <definedName name="____123">#REF!</definedName>
    <definedName name="____124">#REF!</definedName>
    <definedName name="____125">#REF!</definedName>
    <definedName name="____126">#REF!</definedName>
    <definedName name="____127">[4]Лист1!#REF!</definedName>
    <definedName name="____128">#REF!</definedName>
    <definedName name="____129">#REF!</definedName>
    <definedName name="____13">#REF!</definedName>
    <definedName name="____130">#REF!</definedName>
    <definedName name="____131">[4]Лист1!#REF!</definedName>
    <definedName name="____132">#REF!</definedName>
    <definedName name="____133">#REF!</definedName>
    <definedName name="____134">#REF!</definedName>
    <definedName name="____135">#REF!</definedName>
    <definedName name="____136">#REF!</definedName>
    <definedName name="____137">#REF!</definedName>
    <definedName name="____138">#REF!</definedName>
    <definedName name="____139">#REF!</definedName>
    <definedName name="____14">#REF!</definedName>
    <definedName name="____140">#REF!</definedName>
    <definedName name="____141">#REF!</definedName>
    <definedName name="____142">#REF!</definedName>
    <definedName name="____143">#REF!</definedName>
    <definedName name="____144">#REF!</definedName>
    <definedName name="____145">#REF!</definedName>
    <definedName name="____146">#REF!</definedName>
    <definedName name="____147">#REF!</definedName>
    <definedName name="____148">#REF!</definedName>
    <definedName name="____149">#REF!</definedName>
    <definedName name="____15">[4]Лист1!#REF!</definedName>
    <definedName name="____150">#REF!</definedName>
    <definedName name="____151">#REF!</definedName>
    <definedName name="____152">#REF!</definedName>
    <definedName name="____153">[4]Лист1!#REF!</definedName>
    <definedName name="____154">#REF!</definedName>
    <definedName name="____155">#REF!</definedName>
    <definedName name="____156">#REF!</definedName>
    <definedName name="____157">#REF!</definedName>
    <definedName name="____158">#REF!</definedName>
    <definedName name="____159">#REF!</definedName>
    <definedName name="____16">#REF!</definedName>
    <definedName name="____160">[4]Лист1!#REF!</definedName>
    <definedName name="____161">#REF!</definedName>
    <definedName name="____162">#REF!</definedName>
    <definedName name="____163">#REF!</definedName>
    <definedName name="____164">#REF!</definedName>
    <definedName name="____165">[4]Лист1!#REF!</definedName>
    <definedName name="____166">#REF!</definedName>
    <definedName name="____167">#REF!</definedName>
    <definedName name="____168">#REF!</definedName>
    <definedName name="____169">#REF!</definedName>
    <definedName name="____17">#REF!</definedName>
    <definedName name="____170">#REF!</definedName>
    <definedName name="____171">#REF!</definedName>
    <definedName name="____172">#REF!</definedName>
    <definedName name="____173">#REF!</definedName>
    <definedName name="____174">#REF!</definedName>
    <definedName name="____175">#REF!</definedName>
    <definedName name="____176">#REF!</definedName>
    <definedName name="____177">#REF!</definedName>
    <definedName name="____178">#REF!</definedName>
    <definedName name="____179">#REF!</definedName>
    <definedName name="____18">#REF!</definedName>
    <definedName name="____180">#REF!</definedName>
    <definedName name="____181">#REF!</definedName>
    <definedName name="____182">#REF!</definedName>
    <definedName name="____183">#REF!</definedName>
    <definedName name="____184">#REF!</definedName>
    <definedName name="____185">#REF!</definedName>
    <definedName name="____186">#REF!</definedName>
    <definedName name="____187">#REF!</definedName>
    <definedName name="____188">#REF!</definedName>
    <definedName name="____189">#REF!</definedName>
    <definedName name="____19">#REF!</definedName>
    <definedName name="____190">#REF!</definedName>
    <definedName name="____191">#REF!</definedName>
    <definedName name="____192">#REF!</definedName>
    <definedName name="____193">#REF!</definedName>
    <definedName name="____194">#REF!</definedName>
    <definedName name="____195">#REF!</definedName>
    <definedName name="____196">#REF!</definedName>
    <definedName name="____197">#REF!</definedName>
    <definedName name="____198">#REF!</definedName>
    <definedName name="____199">#REF!</definedName>
    <definedName name="____2">#REF!</definedName>
    <definedName name="____20">#REF!</definedName>
    <definedName name="____200">#REF!</definedName>
    <definedName name="____201">#REF!</definedName>
    <definedName name="____202">#REF!</definedName>
    <definedName name="____203">#REF!</definedName>
    <definedName name="____204">#REF!</definedName>
    <definedName name="____205">#REF!</definedName>
    <definedName name="____206">#REF!</definedName>
    <definedName name="____207">#REF!</definedName>
    <definedName name="____208">#REF!</definedName>
    <definedName name="____209">#REF!</definedName>
    <definedName name="____21">#REF!</definedName>
    <definedName name="____210">#REF!</definedName>
    <definedName name="____211">#REF!</definedName>
    <definedName name="____212">#REF!</definedName>
    <definedName name="____213">#REF!</definedName>
    <definedName name="____214">#REF!</definedName>
    <definedName name="____215">#REF!</definedName>
    <definedName name="____216">#REF!</definedName>
    <definedName name="____217">#REF!</definedName>
    <definedName name="____218">#REF!</definedName>
    <definedName name="____219">#REF!</definedName>
    <definedName name="____22">#REF!</definedName>
    <definedName name="____220">#REF!</definedName>
    <definedName name="____221">#REF!</definedName>
    <definedName name="____222">#REF!</definedName>
    <definedName name="____223">#REF!</definedName>
    <definedName name="____224">#REF!</definedName>
    <definedName name="____225">#REF!</definedName>
    <definedName name="____226">#REF!</definedName>
    <definedName name="____227">#REF!</definedName>
    <definedName name="____228">#REF!</definedName>
    <definedName name="____229">#REF!</definedName>
    <definedName name="____23">#REF!</definedName>
    <definedName name="____230">#REF!</definedName>
    <definedName name="____231">#REF!</definedName>
    <definedName name="____232">#REF!</definedName>
    <definedName name="____233">#REF!</definedName>
    <definedName name="____234">#REF!</definedName>
    <definedName name="____235">#REF!</definedName>
    <definedName name="____236">#REF!</definedName>
    <definedName name="____237">#REF!</definedName>
    <definedName name="____238">#REF!</definedName>
    <definedName name="____239">#REF!</definedName>
    <definedName name="____24">#REF!</definedName>
    <definedName name="____240">#REF!</definedName>
    <definedName name="____241">#REF!</definedName>
    <definedName name="____242">[4]Лист1!#REF!</definedName>
    <definedName name="____243">[4]Лист1!#REF!</definedName>
    <definedName name="____244">#REF!</definedName>
    <definedName name="____245">#REF!</definedName>
    <definedName name="____246">#REF!</definedName>
    <definedName name="____247">#REF!</definedName>
    <definedName name="____248">#REF!</definedName>
    <definedName name="____249">[4]Лист1!#REF!</definedName>
    <definedName name="____25">#REF!</definedName>
    <definedName name="____250">#REF!</definedName>
    <definedName name="____251">#REF!</definedName>
    <definedName name="____252">#REF!</definedName>
    <definedName name="____253">#REF!</definedName>
    <definedName name="____254">#REF!</definedName>
    <definedName name="____255">[4]Лист1!#REF!</definedName>
    <definedName name="____256">#REF!</definedName>
    <definedName name="____26">#REF!</definedName>
    <definedName name="____27">#REF!</definedName>
    <definedName name="____28">#REF!</definedName>
    <definedName name="____29">#REF!</definedName>
    <definedName name="____3">#REF!</definedName>
    <definedName name="____30">#REF!</definedName>
    <definedName name="____31">#REF!</definedName>
    <definedName name="____32">#REF!</definedName>
    <definedName name="____33">#REF!</definedName>
    <definedName name="____34">#REF!</definedName>
    <definedName name="____35">#REF!</definedName>
    <definedName name="____36">#REF!</definedName>
    <definedName name="____37">#REF!</definedName>
    <definedName name="____38">#REF!</definedName>
    <definedName name="____39">#REF!</definedName>
    <definedName name="____4">#REF!</definedName>
    <definedName name="____40">#REF!</definedName>
    <definedName name="____41">#REF!</definedName>
    <definedName name="____42">#REF!</definedName>
    <definedName name="____43">#REF!</definedName>
    <definedName name="____44">#REF!</definedName>
    <definedName name="____45">#REF!</definedName>
    <definedName name="____46">#REF!</definedName>
    <definedName name="____47">#REF!</definedName>
    <definedName name="____48">#REF!</definedName>
    <definedName name="____49">#REF!</definedName>
    <definedName name="____5">#REF!</definedName>
    <definedName name="____50">#REF!</definedName>
    <definedName name="____51">#REF!</definedName>
    <definedName name="____52">#REF!</definedName>
    <definedName name="____53">#REF!</definedName>
    <definedName name="____54">#REF!</definedName>
    <definedName name="____55">#REF!</definedName>
    <definedName name="____56">#REF!</definedName>
    <definedName name="____57">[4]Лист1!#REF!</definedName>
    <definedName name="____58">#REF!</definedName>
    <definedName name="____59">#REF!</definedName>
    <definedName name="____6">#REF!</definedName>
    <definedName name="____60">#REF!</definedName>
    <definedName name="____61">#REF!</definedName>
    <definedName name="____62">#REF!</definedName>
    <definedName name="____63">#REF!</definedName>
    <definedName name="____64">#REF!</definedName>
    <definedName name="____65">#REF!</definedName>
    <definedName name="____66">#REF!</definedName>
    <definedName name="____67">#REF!</definedName>
    <definedName name="____68">#REF!</definedName>
    <definedName name="____69">#REF!</definedName>
    <definedName name="____7">#REF!</definedName>
    <definedName name="____70">#REF!</definedName>
    <definedName name="____71">#REF!</definedName>
    <definedName name="____72">#REF!</definedName>
    <definedName name="____73">#REF!</definedName>
    <definedName name="____74">#REF!</definedName>
    <definedName name="____75">#REF!</definedName>
    <definedName name="____76">#REF!</definedName>
    <definedName name="____77">#REF!</definedName>
    <definedName name="____78">#REF!</definedName>
    <definedName name="____79">#REF!</definedName>
    <definedName name="____8">#REF!</definedName>
    <definedName name="____80">#REF!</definedName>
    <definedName name="____81">#REF!</definedName>
    <definedName name="____82">#REF!</definedName>
    <definedName name="____83">#REF!</definedName>
    <definedName name="____84">#REF!</definedName>
    <definedName name="____85">#REF!</definedName>
    <definedName name="____86">#REF!</definedName>
    <definedName name="____87">#REF!</definedName>
    <definedName name="____88">#REF!</definedName>
    <definedName name="____89">#REF!</definedName>
    <definedName name="____9">#REF!</definedName>
    <definedName name="____90">[4]Лист1!#REF!</definedName>
    <definedName name="____91">#REF!</definedName>
    <definedName name="____92">#REF!</definedName>
    <definedName name="____93">#REF!</definedName>
    <definedName name="____94">#REF!</definedName>
    <definedName name="____95">#REF!</definedName>
    <definedName name="____96">#REF!</definedName>
    <definedName name="____97">#REF!</definedName>
    <definedName name="____98">#REF!</definedName>
    <definedName name="____99">#REF!</definedName>
    <definedName name="____c" hidden="1">{"ÜBERSICHT",#N/A,FALSE,"ABW KUM";"Kostenzoom",#N/A,FALSE,"ABW KUM";"ÜBERSICHT",#N/A,FALSE,"ABW HORE";"Kostenzoom",#N/A,FALSE,"ABW HORE"}</definedName>
    <definedName name="____CF2" hidden="1">{"Output%",#N/A,FALSE,"Output"}</definedName>
    <definedName name="____hkf8" hidden="1">{"glc1",#N/A,FALSE,"GLC";"glc2",#N/A,FALSE,"GLC";"glc3",#N/A,FALSE,"GLC";"glc4",#N/A,FALSE,"GLC";"glc5",#N/A,FALSE,"GLC"}</definedName>
    <definedName name="____j1">#REF!</definedName>
    <definedName name="____PR1">#REF!</definedName>
    <definedName name="____PR1204">#REF!</definedName>
    <definedName name="____PR2">#REF!</definedName>
    <definedName name="____PR3">#REF!</definedName>
    <definedName name="____PR4">#REF!</definedName>
    <definedName name="____PR5">#REF!</definedName>
    <definedName name="____RAC1" hidden="1">#REF!</definedName>
    <definedName name="____RI1">#REF!</definedName>
    <definedName name="____RR1">#REF!</definedName>
    <definedName name="____rwb2" hidden="1">{#N/A,#N/A,FALSE,"Aging Summary";#N/A,#N/A,FALSE,"Ratio Analysis";#N/A,#N/A,FALSE,"Test 120 Day Accts";#N/A,#N/A,FALSE,"Tickmarks"}</definedName>
    <definedName name="____rwn1" hidden="1">{#N/A,#N/A,FALSE,"Aging Summary";#N/A,#N/A,FALSE,"Ratio Analysis";#N/A,#N/A,FALSE,"Test 120 Day Accts";#N/A,#N/A,FALSE,"Tickmarks"}</definedName>
    <definedName name="____rwn10" hidden="1">{#N/A,#N/A,FALSE,"Aging Summary";#N/A,#N/A,FALSE,"Ratio Analysis";#N/A,#N/A,FALSE,"Test 120 Day Accts";#N/A,#N/A,FALSE,"Tickmarks"}</definedName>
    <definedName name="____rwn3" hidden="1">{"assets",#N/A,FALSE,"historicBS";"liab",#N/A,FALSE,"historicBS";"is",#N/A,FALSE,"historicIS";"ratios",#N/A,FALSE,"ratios"}</definedName>
    <definedName name="____rwn4" hidden="1">{"assets",#N/A,FALSE,"historicBS";"liab",#N/A,FALSE,"historicBS";"is",#N/A,FALSE,"historicIS";"ratios",#N/A,FALSE,"ratios"}</definedName>
    <definedName name="____rwn5" hidden="1">{"glcbs",#N/A,FALSE,"GLCBS";"glccsbs",#N/A,FALSE,"GLCCSBS";"glcis",#N/A,FALSE,"GLCIS";"glccsis",#N/A,FALSE,"GLCCSIS";"glcrat1",#N/A,FALSE,"GLC-ratios1"}</definedName>
    <definedName name="____rwn6" hidden="1">{"glc1",#N/A,FALSE,"GLC";"glc2",#N/A,FALSE,"GLC";"glc3",#N/A,FALSE,"GLC";"glc4",#N/A,FALSE,"GLC";"glc5",#N/A,FALSE,"GLC"}</definedName>
    <definedName name="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rwn8" hidden="1">{"glc1",#N/A,FALSE,"GLC";"glc2",#N/A,FALSE,"GLC";"glc3",#N/A,FALSE,"GLC";"glc4",#N/A,FALSE,"GLC";"glc5",#N/A,FALSE,"GLC"}</definedName>
    <definedName name="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SDU99">[1]ЗАО_н.ит!#REF!</definedName>
    <definedName name="____SQ1">[2]Исход.инф.!$B$7</definedName>
    <definedName name="____SQ2">[2]Исход.инф.!$B$8</definedName>
    <definedName name="____SQ3">[2]Исход.инф.!$B$9</definedName>
    <definedName name="____SQ4">[2]Исход.инф.!$B$10</definedName>
    <definedName name="____USD99">[1]ЗАО_н.ит!#REF!</definedName>
    <definedName name="____wrn1" hidden="1">{"glc1",#N/A,FALSE,"GLC";"glc2",#N/A,FALSE,"GLC";"glc3",#N/A,FALSE,"GLC";"glc4",#N/A,FALSE,"GLC";"glc5",#N/A,FALSE,"GLC"}</definedName>
    <definedName name="____wrn2" hidden="1">{"glc1",#N/A,FALSE,"GLC";"glc2",#N/A,FALSE,"GLC";"glc3",#N/A,FALSE,"GLC";"glc4",#N/A,FALSE,"GLC";"glc5",#N/A,FALSE,"GLC"}</definedName>
    <definedName name="____wrn222" hidden="1">{"glc1",#N/A,FALSE,"GLC";"glc2",#N/A,FALSE,"GLC";"glc3",#N/A,FALSE,"GLC";"glc4",#N/A,FALSE,"GLC";"glc5",#N/A,FALSE,"GLC"}</definedName>
    <definedName name="____xlfn.AVERAGEIF" hidden="1">#NAME?</definedName>
    <definedName name="___111" hidden="1">#REF!</definedName>
    <definedName name="___123" hidden="1">#REF!</definedName>
    <definedName name="___c" hidden="1">{"ÜBERSICHT",#N/A,FALSE,"ABW KUM";"Kostenzoom",#N/A,FALSE,"ABW KUM";"ÜBERSICHT",#N/A,FALSE,"ABW HORE";"Kostenzoom",#N/A,FALSE,"ABW HORE"}</definedName>
    <definedName name="___CF2" hidden="1">{"Output%",#N/A,FALSE,"Output"}</definedName>
    <definedName name="___hkf8" hidden="1">{"glc1",#N/A,FALSE,"GLC";"glc2",#N/A,FALSE,"GLC";"glc3",#N/A,FALSE,"GLC";"glc4",#N/A,FALSE,"GLC";"glc5",#N/A,FALSE,"GLC"}</definedName>
    <definedName name="___j1">#REF!</definedName>
    <definedName name="___PR1">#REF!</definedName>
    <definedName name="___PR1204">#REF!</definedName>
    <definedName name="___PR2">#REF!</definedName>
    <definedName name="___PR3">#REF!</definedName>
    <definedName name="___PR4">#REF!</definedName>
    <definedName name="___PR5">#REF!</definedName>
    <definedName name="___RAC1" hidden="1">#REF!</definedName>
    <definedName name="___RI1">#REF!</definedName>
    <definedName name="___RR1">#REF!</definedName>
    <definedName name="___rwb2" hidden="1">{#N/A,#N/A,FALSE,"Aging Summary";#N/A,#N/A,FALSE,"Ratio Analysis";#N/A,#N/A,FALSE,"Test 120 Day Accts";#N/A,#N/A,FALSE,"Tickmarks"}</definedName>
    <definedName name="___rwn1" hidden="1">{#N/A,#N/A,FALSE,"Aging Summary";#N/A,#N/A,FALSE,"Ratio Analysis";#N/A,#N/A,FALSE,"Test 120 Day Accts";#N/A,#N/A,FALSE,"Tickmarks"}</definedName>
    <definedName name="___rwn10" hidden="1">{#N/A,#N/A,FALSE,"Aging Summary";#N/A,#N/A,FALSE,"Ratio Analysis";#N/A,#N/A,FALSE,"Test 120 Day Accts";#N/A,#N/A,FALSE,"Tickmarks"}</definedName>
    <definedName name="___rwn3" hidden="1">{"assets",#N/A,FALSE,"historicBS";"liab",#N/A,FALSE,"historicBS";"is",#N/A,FALSE,"historicIS";"ratios",#N/A,FALSE,"ratios"}</definedName>
    <definedName name="___rwn4" hidden="1">{"assets",#N/A,FALSE,"historicBS";"liab",#N/A,FALSE,"historicBS";"is",#N/A,FALSE,"historicIS";"ratios",#N/A,FALSE,"ratios"}</definedName>
    <definedName name="___rwn5" hidden="1">{"glcbs",#N/A,FALSE,"GLCBS";"glccsbs",#N/A,FALSE,"GLCCSBS";"glcis",#N/A,FALSE,"GLCIS";"glccsis",#N/A,FALSE,"GLCCSIS";"glcrat1",#N/A,FALSE,"GLC-ratios1"}</definedName>
    <definedName name="___rwn6" hidden="1">{"glc1",#N/A,FALSE,"GLC";"glc2",#N/A,FALSE,"GLC";"glc3",#N/A,FALSE,"GLC";"glc4",#N/A,FALSE,"GLC";"glc5",#N/A,FALSE,"GLC"}</definedName>
    <definedName name="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rwn8" hidden="1">{"glc1",#N/A,FALSE,"GLC";"glc2",#N/A,FALSE,"GLC";"glc3",#N/A,FALSE,"GLC";"glc4",#N/A,FALSE,"GLC";"glc5",#N/A,FALSE,"GLC"}</definedName>
    <definedName name="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SDU99">[5]ЗАО_н.ит!#REF!</definedName>
    <definedName name="___SQ1">[2]Исход.инф.!$B$7</definedName>
    <definedName name="___SQ2">[2]Исход.инф.!$B$8</definedName>
    <definedName name="___SQ3">[2]Исход.инф.!$B$9</definedName>
    <definedName name="___SQ4">[2]Исход.инф.!$B$10</definedName>
    <definedName name="___USD99">[5]ЗАО_н.ит!#REF!</definedName>
    <definedName name="___wrn1" hidden="1">{"glc1",#N/A,FALSE,"GLC";"glc2",#N/A,FALSE,"GLC";"glc3",#N/A,FALSE,"GLC";"glc4",#N/A,FALSE,"GLC";"glc5",#N/A,FALSE,"GLC"}</definedName>
    <definedName name="___wrn2" hidden="1">{"glc1",#N/A,FALSE,"GLC";"glc2",#N/A,FALSE,"GLC";"glc3",#N/A,FALSE,"GLC";"glc4",#N/A,FALSE,"GLC";"glc5",#N/A,FALSE,"GLC"}</definedName>
    <definedName name="___wrn222" hidden="1">{"glc1",#N/A,FALSE,"GLC";"glc2",#N/A,FALSE,"GLC";"glc3",#N/A,FALSE,"GLC";"glc4",#N/A,FALSE,"GLC";"glc5",#N/A,FALSE,"GLC"}</definedName>
    <definedName name="___xlfn.AVERAGEIF" hidden="1">#NAME?</definedName>
    <definedName name="__1">#REF!</definedName>
    <definedName name="__1__123Graph_ACHART_4" hidden="1">#REF!</definedName>
    <definedName name="__10">#REF!</definedName>
    <definedName name="__100">#REF!</definedName>
    <definedName name="__101">#REF!</definedName>
    <definedName name="__102">#REF!</definedName>
    <definedName name="__103">#REF!</definedName>
    <definedName name="__104">#REF!</definedName>
    <definedName name="__105">#REF!</definedName>
    <definedName name="__106">#REF!</definedName>
    <definedName name="__107">#REF!</definedName>
    <definedName name="__108">#REF!</definedName>
    <definedName name="__109">#REF!</definedName>
    <definedName name="__11">#REF!</definedName>
    <definedName name="__110">#REF!</definedName>
    <definedName name="__111">#REF!</definedName>
    <definedName name="__112">#REF!</definedName>
    <definedName name="__113">#REF!</definedName>
    <definedName name="__114">#REF!</definedName>
    <definedName name="__115">#REF!</definedName>
    <definedName name="__116">#REF!</definedName>
    <definedName name="__117">#REF!</definedName>
    <definedName name="__118">#REF!</definedName>
    <definedName name="__119">#REF!</definedName>
    <definedName name="__12">#REF!</definedName>
    <definedName name="__120">#REF!</definedName>
    <definedName name="__121">#REF!</definedName>
    <definedName name="__1212" hidden="1">#REF!</definedName>
    <definedName name="__122">#REF!</definedName>
    <definedName name="__123" hidden="1">#REF!</definedName>
    <definedName name="__123_" hidden="1">#REF!</definedName>
    <definedName name="__123123" hidden="1">#REF!</definedName>
    <definedName name="__123Graph" hidden="1">[6]RSOILBAL!#REF!</definedName>
    <definedName name="__123Graph_A" hidden="1">[7]T1!#REF!</definedName>
    <definedName name="__123Graph_ACRPIE90" hidden="1">[8]RSOILBAL!#REF!</definedName>
    <definedName name="__123Graph_ACRPIE91" hidden="1">[8]RSOILBAL!#REF!</definedName>
    <definedName name="__123Graph_ACRPIE92" hidden="1">[8]RSOILBAL!#REF!</definedName>
    <definedName name="__123Graph_ACRPIE93" hidden="1">[8]RSOILBAL!#REF!</definedName>
    <definedName name="__123Graph_AMAIN" hidden="1">'[9]#ССЫЛКА'!#REF!</definedName>
    <definedName name="__123Graph_B" hidden="1">[7]T1!#REF!</definedName>
    <definedName name="__123Graph_C" hidden="1">[10]MAIN!#REF!</definedName>
    <definedName name="__123Graph_D" hidden="1">[11]Proforma!#REF!</definedName>
    <definedName name="__123Graph_E" hidden="1">[10]MAIN!#REF!</definedName>
    <definedName name="__123Graph_F" hidden="1">[10]MAIN!#REF!</definedName>
    <definedName name="__123Graph_LBL_A" hidden="1">[8]RSOILBAL!#REF!</definedName>
    <definedName name="__123Graph_LBL_ACRPIE90" hidden="1">[8]RSOILBAL!#REF!</definedName>
    <definedName name="__123Graph_LBL_ACRPIE91" hidden="1">[8]RSOILBAL!#REF!</definedName>
    <definedName name="__123Graph_LBL_ACRPIE92" hidden="1">[8]RSOILBAL!#REF!</definedName>
    <definedName name="__123Graph_LBL_ACRPIE93" hidden="1">[8]RSOILBAL!#REF!</definedName>
    <definedName name="__123Graph_X" hidden="1">[7]T1!#REF!</definedName>
    <definedName name="__123Graph_XDuPont" hidden="1">[10]MAIN!#REF!</definedName>
    <definedName name="__124">#REF!</definedName>
    <definedName name="__125">#REF!</definedName>
    <definedName name="__126">#REF!</definedName>
    <definedName name="__127">[4]Лист1!#REF!</definedName>
    <definedName name="__128">#REF!</definedName>
    <definedName name="__129">#REF!</definedName>
    <definedName name="__13">#REF!</definedName>
    <definedName name="__130">#REF!</definedName>
    <definedName name="__131">[4]Лист1!#REF!</definedName>
    <definedName name="__132">#REF!</definedName>
    <definedName name="__133">#REF!</definedName>
    <definedName name="__134">#REF!</definedName>
    <definedName name="__135">#REF!</definedName>
    <definedName name="__136">#REF!</definedName>
    <definedName name="__137">#REF!</definedName>
    <definedName name="__138">#REF!</definedName>
    <definedName name="__139">#REF!</definedName>
    <definedName name="__14">#REF!</definedName>
    <definedName name="__140">#REF!</definedName>
    <definedName name="__141">#REF!</definedName>
    <definedName name="__142">#REF!</definedName>
    <definedName name="__143">#REF!</definedName>
    <definedName name="__144">#REF!</definedName>
    <definedName name="__145">#REF!</definedName>
    <definedName name="__146">#REF!</definedName>
    <definedName name="__147">#REF!</definedName>
    <definedName name="__148">#REF!</definedName>
    <definedName name="__149">#REF!</definedName>
    <definedName name="__15">[4]Лист1!#REF!</definedName>
    <definedName name="__150">#REF!</definedName>
    <definedName name="__151">#REF!</definedName>
    <definedName name="__152">#REF!</definedName>
    <definedName name="__153">[4]Лист1!#REF!</definedName>
    <definedName name="__154">#REF!</definedName>
    <definedName name="__155">#REF!</definedName>
    <definedName name="__156">#REF!</definedName>
    <definedName name="__157">#REF!</definedName>
    <definedName name="__158">#REF!</definedName>
    <definedName name="__159">#REF!</definedName>
    <definedName name="__16">#REF!</definedName>
    <definedName name="__160">[4]Лист1!#REF!</definedName>
    <definedName name="__161">#REF!</definedName>
    <definedName name="__162">#REF!</definedName>
    <definedName name="__163">#REF!</definedName>
    <definedName name="__164">#REF!</definedName>
    <definedName name="__165">[4]Лист1!#REF!</definedName>
    <definedName name="__166">#REF!</definedName>
    <definedName name="__167">#REF!</definedName>
    <definedName name="__168">#REF!</definedName>
    <definedName name="__169">#REF!</definedName>
    <definedName name="__17">#REF!</definedName>
    <definedName name="__170">#REF!</definedName>
    <definedName name="__171">#REF!</definedName>
    <definedName name="__172">#REF!</definedName>
    <definedName name="__173">#REF!</definedName>
    <definedName name="__174">#REF!</definedName>
    <definedName name="__175">#REF!</definedName>
    <definedName name="__176">#REF!</definedName>
    <definedName name="__177">#REF!</definedName>
    <definedName name="__178">#REF!</definedName>
    <definedName name="__179">#REF!</definedName>
    <definedName name="__18">#REF!</definedName>
    <definedName name="__180">#REF!</definedName>
    <definedName name="__181">#REF!</definedName>
    <definedName name="__182">#REF!</definedName>
    <definedName name="__183">#REF!</definedName>
    <definedName name="__184">#REF!</definedName>
    <definedName name="__185">#REF!</definedName>
    <definedName name="__186">#REF!</definedName>
    <definedName name="__187">#REF!</definedName>
    <definedName name="__188">#REF!</definedName>
    <definedName name="__189">#REF!</definedName>
    <definedName name="__19">#REF!</definedName>
    <definedName name="__190">#REF!</definedName>
    <definedName name="__191">#REF!</definedName>
    <definedName name="__192">#REF!</definedName>
    <definedName name="__193">#REF!</definedName>
    <definedName name="__194">#REF!</definedName>
    <definedName name="__195">#REF!</definedName>
    <definedName name="__196">#REF!</definedName>
    <definedName name="__197">#REF!</definedName>
    <definedName name="__1975">[4]Лист1!#REF!</definedName>
    <definedName name="__198">#REF!</definedName>
    <definedName name="__199">#REF!</definedName>
    <definedName name="__2">#REF!</definedName>
    <definedName name="__2__123Graph_XCHART_3" hidden="1">#REF!</definedName>
    <definedName name="__20">#REF!</definedName>
    <definedName name="__200">#REF!</definedName>
    <definedName name="__201">#REF!</definedName>
    <definedName name="__202">#REF!</definedName>
    <definedName name="__203">#REF!</definedName>
    <definedName name="__204">#REF!</definedName>
    <definedName name="__205">#REF!</definedName>
    <definedName name="__206">#REF!</definedName>
    <definedName name="__207">#REF!</definedName>
    <definedName name="__208">#REF!</definedName>
    <definedName name="__209">#REF!</definedName>
    <definedName name="__21">#REF!</definedName>
    <definedName name="__210">#REF!</definedName>
    <definedName name="__211">#REF!</definedName>
    <definedName name="__212">#REF!</definedName>
    <definedName name="__213">#REF!</definedName>
    <definedName name="__214">#REF!</definedName>
    <definedName name="__215">#REF!</definedName>
    <definedName name="__216">#REF!</definedName>
    <definedName name="__217">#REF!</definedName>
    <definedName name="__218">#REF!</definedName>
    <definedName name="__219">#REF!</definedName>
    <definedName name="__22">#REF!</definedName>
    <definedName name="__220">#REF!</definedName>
    <definedName name="__221">#REF!</definedName>
    <definedName name="__222">#REF!</definedName>
    <definedName name="__223">#REF!</definedName>
    <definedName name="__224">#REF!</definedName>
    <definedName name="__225">#REF!</definedName>
    <definedName name="__226">#REF!</definedName>
    <definedName name="__227">#REF!</definedName>
    <definedName name="__228">#REF!</definedName>
    <definedName name="__229">#REF!</definedName>
    <definedName name="__23">#REF!</definedName>
    <definedName name="__230">#REF!</definedName>
    <definedName name="__231">#REF!</definedName>
    <definedName name="__232">#REF!</definedName>
    <definedName name="__233">#REF!</definedName>
    <definedName name="__234">#REF!</definedName>
    <definedName name="__235">#REF!</definedName>
    <definedName name="__236">#REF!</definedName>
    <definedName name="__237">#REF!</definedName>
    <definedName name="__238">#REF!</definedName>
    <definedName name="__239">#REF!</definedName>
    <definedName name="__24">#REF!</definedName>
    <definedName name="__240">#REF!</definedName>
    <definedName name="__241">#REF!</definedName>
    <definedName name="__242">[4]Лист1!#REF!</definedName>
    <definedName name="__243">[4]Лист1!#REF!</definedName>
    <definedName name="__244">#REF!</definedName>
    <definedName name="__245">#REF!</definedName>
    <definedName name="__246">#REF!</definedName>
    <definedName name="__247">#REF!</definedName>
    <definedName name="__248">#REF!</definedName>
    <definedName name="__249">[4]Лист1!#REF!</definedName>
    <definedName name="__25">#REF!</definedName>
    <definedName name="__250">#REF!</definedName>
    <definedName name="__251">#REF!</definedName>
    <definedName name="__252">#REF!</definedName>
    <definedName name="__253">#REF!</definedName>
    <definedName name="__254">#REF!</definedName>
    <definedName name="__255">[4]Лист1!#REF!</definedName>
    <definedName name="__256">#REF!</definedName>
    <definedName name="__26">#REF!</definedName>
    <definedName name="__27">#REF!</definedName>
    <definedName name="__28">#REF!</definedName>
    <definedName name="__29">#REF!</definedName>
    <definedName name="__3">#REF!</definedName>
    <definedName name="__3__123Graph_XCHART_4" hidden="1">#REF!</definedName>
    <definedName name="__30">#REF!</definedName>
    <definedName name="__31">#REF!</definedName>
    <definedName name="__32">#REF!</definedName>
    <definedName name="__33">#REF!</definedName>
    <definedName name="__34">#REF!</definedName>
    <definedName name="__35">#REF!</definedName>
    <definedName name="__36">#REF!</definedName>
    <definedName name="__37">#REF!</definedName>
    <definedName name="__38">#REF!</definedName>
    <definedName name="__39">#REF!</definedName>
    <definedName name="__4">#REF!</definedName>
    <definedName name="__40">#REF!</definedName>
    <definedName name="__41">#REF!</definedName>
    <definedName name="__42">#REF!</definedName>
    <definedName name="__43">#REF!</definedName>
    <definedName name="__44">#REF!</definedName>
    <definedName name="__45">#REF!</definedName>
    <definedName name="__46">#REF!</definedName>
    <definedName name="__47">#REF!</definedName>
    <definedName name="__48">#REF!</definedName>
    <definedName name="__49">#REF!</definedName>
    <definedName name="__4aaa" hidden="1">{#N/A,#N/A,FALSE,"Aging Summary";#N/A,#N/A,FALSE,"Ratio Analysis";#N/A,#N/A,FALSE,"Test 120 Day Accts";#N/A,#N/A,FALSE,"Tickmarks"}</definedName>
    <definedName name="__5">#REF!</definedName>
    <definedName name="__50">#REF!</definedName>
    <definedName name="__51">#REF!</definedName>
    <definedName name="__52">#REF!</definedName>
    <definedName name="__53">#REF!</definedName>
    <definedName name="__54">#REF!</definedName>
    <definedName name="__55">#REF!</definedName>
    <definedName name="__56">#REF!</definedName>
    <definedName name="__57">[4]Лист1!#REF!</definedName>
    <definedName name="__58">#REF!</definedName>
    <definedName name="__59">#REF!</definedName>
    <definedName name="__6">#REF!</definedName>
    <definedName name="__60">#REF!</definedName>
    <definedName name="__61">#REF!</definedName>
    <definedName name="__62">#REF!</definedName>
    <definedName name="__63">#REF!</definedName>
    <definedName name="__64">#REF!</definedName>
    <definedName name="__65">#REF!</definedName>
    <definedName name="__66">#REF!</definedName>
    <definedName name="__67">#REF!</definedName>
    <definedName name="__68">#REF!</definedName>
    <definedName name="__69">#REF!</definedName>
    <definedName name="__7">#REF!</definedName>
    <definedName name="__70">#REF!</definedName>
    <definedName name="__71">#REF!</definedName>
    <definedName name="__72">#REF!</definedName>
    <definedName name="__73">#REF!</definedName>
    <definedName name="__74">#REF!</definedName>
    <definedName name="__75">#REF!</definedName>
    <definedName name="__76">#REF!</definedName>
    <definedName name="__77">#REF!</definedName>
    <definedName name="__78">#REF!</definedName>
    <definedName name="__79">#REF!</definedName>
    <definedName name="__8">#REF!</definedName>
    <definedName name="__80">#REF!</definedName>
    <definedName name="__81">#REF!</definedName>
    <definedName name="__82">#REF!</definedName>
    <definedName name="__83">#REF!</definedName>
    <definedName name="__84">#REF!</definedName>
    <definedName name="__85">#REF!</definedName>
    <definedName name="__86">#REF!</definedName>
    <definedName name="__87">#REF!</definedName>
    <definedName name="__88">#REF!</definedName>
    <definedName name="__89">#REF!</definedName>
    <definedName name="__9">#REF!</definedName>
    <definedName name="__90">[4]Лист1!#REF!</definedName>
    <definedName name="__91">#REF!</definedName>
    <definedName name="__92">#REF!</definedName>
    <definedName name="__93">#REF!</definedName>
    <definedName name="__94">#REF!</definedName>
    <definedName name="__95">#REF!</definedName>
    <definedName name="__96">#REF!</definedName>
    <definedName name="__96__">'[12]Актив Л1'!$L$5:$AA$5</definedName>
    <definedName name="__97">#REF!</definedName>
    <definedName name="__98">#REF!</definedName>
    <definedName name="__99">#REF!</definedName>
    <definedName name="__AS22006" hidden="1">"AS2DocumentBrowse"</definedName>
    <definedName name="__c" hidden="1">{"ÜBERSICHT",#N/A,FALSE,"ABW KUM";"Kostenzoom",#N/A,FALSE,"ABW KUM";"ÜBERSICHT",#N/A,FALSE,"ABW HORE";"Kostenzoom",#N/A,FALSE,"ABW HORE"}</definedName>
    <definedName name="__CF2" hidden="1">{"Output%",#N/A,FALSE,"Output"}</definedName>
    <definedName name="__FDS_HYPERLINK_TOGGLE_STATE__" hidden="1">"ON"</definedName>
    <definedName name="__hkf8" hidden="1">{"glc1",#N/A,FALSE,"GLC";"glc2",#N/A,FALSE,"GLC";"glc3",#N/A,FALSE,"GLC";"glc4",#N/A,FALSE,"GLC";"glc5",#N/A,FALSE,"GLC"}</definedName>
    <definedName name="__INF_MEC">#N/A</definedName>
    <definedName name="__IntlFixup" hidden="1">TRUE</definedName>
    <definedName name="__j1">#REF!</definedName>
    <definedName name="__ot97" hidden="1">#REF!,#REF!,#REF!,#REF!,#REF!,#REF!,#REF!</definedName>
    <definedName name="__PR1">#REF!</definedName>
    <definedName name="__PR1204">#REF!</definedName>
    <definedName name="__PR2">#REF!</definedName>
    <definedName name="__PR3">#REF!</definedName>
    <definedName name="__PR4">#REF!</definedName>
    <definedName name="__PR5">#REF!</definedName>
    <definedName name="__RAC1" hidden="1">#REF!</definedName>
    <definedName name="__RI1">#REF!</definedName>
    <definedName name="__RR1">#REF!</definedName>
    <definedName name="__rwb2" hidden="1">{#N/A,#N/A,FALSE,"Aging Summary";#N/A,#N/A,FALSE,"Ratio Analysis";#N/A,#N/A,FALSE,"Test 120 Day Accts";#N/A,#N/A,FALSE,"Tickmarks"}</definedName>
    <definedName name="__rwn1" hidden="1">{#N/A,#N/A,FALSE,"Aging Summary";#N/A,#N/A,FALSE,"Ratio Analysis";#N/A,#N/A,FALSE,"Test 120 Day Accts";#N/A,#N/A,FALSE,"Tickmarks"}</definedName>
    <definedName name="__rwn10" hidden="1">{#N/A,#N/A,FALSE,"Aging Summary";#N/A,#N/A,FALSE,"Ratio Analysis";#N/A,#N/A,FALSE,"Test 120 Day Accts";#N/A,#N/A,FALSE,"Tickmarks"}</definedName>
    <definedName name="__rwn3" hidden="1">{"assets",#N/A,FALSE,"historicBS";"liab",#N/A,FALSE,"historicBS";"is",#N/A,FALSE,"historicIS";"ratios",#N/A,FALSE,"ratios"}</definedName>
    <definedName name="__rwn4" hidden="1">{"assets",#N/A,FALSE,"historicBS";"liab",#N/A,FALSE,"historicBS";"is",#N/A,FALSE,"historicIS";"ratios",#N/A,FALSE,"ratios"}</definedName>
    <definedName name="__rwn5" hidden="1">{"glcbs",#N/A,FALSE,"GLCBS";"glccsbs",#N/A,FALSE,"GLCCSBS";"glcis",#N/A,FALSE,"GLCIS";"glccsis",#N/A,FALSE,"GLCCSIS";"glcrat1",#N/A,FALSE,"GLC-ratios1"}</definedName>
    <definedName name="__rwn6" hidden="1">{"glc1",#N/A,FALSE,"GLC";"glc2",#N/A,FALSE,"GLC";"glc3",#N/A,FALSE,"GLC";"glc4",#N/A,FALSE,"GLC";"glc5",#N/A,FALSE,"GLC"}</definedName>
    <definedName name="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rwn8" hidden="1">{"glc1",#N/A,FALSE,"GLC";"glc2",#N/A,FALSE,"GLC";"glc3",#N/A,FALSE,"GLC";"glc4",#N/A,FALSE,"GLC";"glc5",#N/A,FALSE,"GLC"}</definedName>
    <definedName name="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SQ1">[2]Исход.инф.!$B$7</definedName>
    <definedName name="__SQ2">[2]Исход.инф.!$B$8</definedName>
    <definedName name="__SQ3">[2]Исход.инф.!$B$9</definedName>
    <definedName name="__SQ4">[2]Исход.инф.!$B$10</definedName>
    <definedName name="__uu1" hidden="1">{#N/A,#N/A,TRUE,"Engineering Dept";#N/A,#N/A,TRUE,"Sales Dept";#N/A,#N/A,TRUE,"Marketing Dept";#N/A,#N/A,TRUE,"Admin Dept"}</definedName>
    <definedName name="__wrn1" hidden="1">{"glc1",#N/A,FALSE,"GLC";"glc2",#N/A,FALSE,"GLC";"glc3",#N/A,FALSE,"GLC";"glc4",#N/A,FALSE,"GLC";"glc5",#N/A,FALSE,"GLC"}</definedName>
    <definedName name="__wrn2" hidden="1">{"glc1",#N/A,FALSE,"GLC";"glc2",#N/A,FALSE,"GLC";"glc3",#N/A,FALSE,"GLC";"glc4",#N/A,FALSE,"GLC";"glc5",#N/A,FALSE,"GLC"}</definedName>
    <definedName name="__wrn222" hidden="1">{"glc1",#N/A,FALSE,"GLC";"glc2",#N/A,FALSE,"GLC";"glc3",#N/A,FALSE,"GLC";"glc4",#N/A,FALSE,"GLC";"glc5",#N/A,FALSE,"GLC"}</definedName>
    <definedName name="__xlfn.AVERAGEIF" hidden="1">#NAME?</definedName>
    <definedName name="__xlfn.BAHTTEXT" hidden="1">#NAME?</definedName>
    <definedName name="__ывы">[4]Лист1!#REF!</definedName>
    <definedName name="_0001">[4]Лист1!$V$58:$V$102</definedName>
    <definedName name="_0002">[4]Лист1!$W$58:$W$102</definedName>
    <definedName name="_0003">[4]Лист1!$V$56:$V$57</definedName>
    <definedName name="_0004">[4]Лист1!$W$56:$W$57</definedName>
    <definedName name="_0005">[4]Лист1!$V$104:$V$165</definedName>
    <definedName name="_0006">[4]Лист1!$W$104:$W$165</definedName>
    <definedName name="_1" hidden="1">#REF!</definedName>
    <definedName name="_1_________________________________________________123Graph_XCHART_4" hidden="1">#REF!</definedName>
    <definedName name="_1_________________123Graph_XCHART_4" hidden="1">#REF!</definedName>
    <definedName name="_1____123Graph_ACHART_4" hidden="1">#REF!</definedName>
    <definedName name="_1___123Graph_ACHART_4" hidden="1">#REF!</definedName>
    <definedName name="_1___123Graph_XCHART_4" hidden="1">#REF!</definedName>
    <definedName name="_1__123Graph_AChart_1A" hidden="1">#REF!</definedName>
    <definedName name="_1__123Graph_ACHART_4" hidden="1">#REF!</definedName>
    <definedName name="_1_USD">#REF!</definedName>
    <definedName name="_10">[4]Лист1!$Y$12</definedName>
    <definedName name="_10__________________________________________123Graph_ACHART_4" hidden="1">#REF!</definedName>
    <definedName name="_10_____________123Graph_XCHART_3" hidden="1">#REF!</definedName>
    <definedName name="_10____123Graph_XђҐ­в_ЎҐ_м­_бвм" hidden="1">[13]MAIN!#REF!</definedName>
    <definedName name="_100">[4]ЗКР!#REF!</definedName>
    <definedName name="_100____________123Graph_ACHART_4" hidden="1">#REF!</definedName>
    <definedName name="_101">[4]Лист1!$A$88</definedName>
    <definedName name="_101____________123Graph_XCHART_3" hidden="1">#REF!</definedName>
    <definedName name="_102">[4]Лист1!$C$88</definedName>
    <definedName name="_102____________123Graph_XCHART_4" hidden="1">#REF!</definedName>
    <definedName name="_103">[4]Лист1!$D$88</definedName>
    <definedName name="_103___________123Graph_ACHART_4" hidden="1">#REF!</definedName>
    <definedName name="_104">[4]Лист1!$E$88</definedName>
    <definedName name="_104___________123Graph_XCHART_3" hidden="1">#REF!</definedName>
    <definedName name="_105">[4]Лист1!$K$88</definedName>
    <definedName name="_105___________123Graph_XCHART_4" hidden="1">#REF!</definedName>
    <definedName name="_106">[4]Лист1!$L$88</definedName>
    <definedName name="_106__________123Graph_ACHART_4" hidden="1">#REF!</definedName>
    <definedName name="_107">[4]Лист1!$M$88</definedName>
    <definedName name="_107__________123Graph_XCHART_3" hidden="1">#REF!</definedName>
    <definedName name="_108">[4]Лист1!$N$88</definedName>
    <definedName name="_108__________123Graph_XCHART_4" hidden="1">#REF!</definedName>
    <definedName name="_109">[4]Лист1!$O$88</definedName>
    <definedName name="_109_________123Graph_ACHART_4" hidden="1">#REF!</definedName>
    <definedName name="_11">[4]Лист1!$Y$13</definedName>
    <definedName name="_11__________________________________________123Graph_XCHART_3" hidden="1">#REF!</definedName>
    <definedName name="_11_____________123Graph_XCHART_4" hidden="1">#REF!</definedName>
    <definedName name="_11____123Graph_XЋЎ_а_з.__Єв._1" hidden="1">[13]MAIN!#REF!</definedName>
    <definedName name="_110">[4]Лист1!$Q$88</definedName>
    <definedName name="_110_________123Graph_XCHART_3" hidden="1">#REF!</definedName>
    <definedName name="_111">[4]Лист1!$Y$113</definedName>
    <definedName name="_111_________123Graph_XCHART_4" hidden="1">#REF!</definedName>
    <definedName name="_112">[4]Лист1!$AA$3</definedName>
    <definedName name="_112________123Graph_ACHART_4" hidden="1">#REF!</definedName>
    <definedName name="_113">[4]Лист1!$T$88</definedName>
    <definedName name="_113________123Graph_XCHART_3" hidden="1">#REF!</definedName>
    <definedName name="_114">[4]ЗКР!$U$89</definedName>
    <definedName name="_114________123Graph_XCHART_4" hidden="1">#REF!</definedName>
    <definedName name="_115">[4]ЗКР!#REF!</definedName>
    <definedName name="_115_______123Graph_ACHART_4" hidden="1">#REF!</definedName>
    <definedName name="_116">[4]Лист1!$V$88</definedName>
    <definedName name="_116_______123Graph_XCHART_3" hidden="1">#REF!</definedName>
    <definedName name="_117">[4]Лист1!$W$88</definedName>
    <definedName name="_117_______123Graph_XCHART_4" hidden="1">#REF!</definedName>
    <definedName name="_118">[4]Лист1!$AF$88</definedName>
    <definedName name="_118______123Graph_ACHART_4" hidden="1">#REF!</definedName>
    <definedName name="_119">[4]Лист1!$AG$88</definedName>
    <definedName name="_119______123Graph_XCHART_3" hidden="1">#REF!</definedName>
    <definedName name="_12">[4]Лист1!$Y$14</definedName>
    <definedName name="_12__________________________________________123Graph_XCHART_4" hidden="1">#REF!</definedName>
    <definedName name="_12____________123Graph_ACHART_4" hidden="1">#REF!</definedName>
    <definedName name="_12____123Graph_XЋЎ_а_в­л__Є_ЇЁв" hidden="1">[13]MAIN!#REF!</definedName>
    <definedName name="_120">[4]Лист1!$AH$88</definedName>
    <definedName name="_120______123Graph_XCHART_4" hidden="1">#REF!</definedName>
    <definedName name="_121">[4]ЗКР!#REF!</definedName>
    <definedName name="_121_____123Graph_ACHART_4" hidden="1">#REF!</definedName>
    <definedName name="_122">[4]ЗКР!#REF!</definedName>
    <definedName name="_122_____123Graph_XCHART_3" hidden="1">#REF!</definedName>
    <definedName name="_123" hidden="1">#REF!</definedName>
    <definedName name="_123_____123Graph_XCHART_4" hidden="1">#REF!</definedName>
    <definedName name="_1234" hidden="1">[7]T1!#REF!</definedName>
    <definedName name="_12345" hidden="1">[7]T1!#REF!</definedName>
    <definedName name="_124">[4]ЗКР!#REF!</definedName>
    <definedName name="_124____123Graph_ACHART_4" hidden="1">#REF!</definedName>
    <definedName name="_124GraphA" hidden="1">[7]T1!#REF!</definedName>
    <definedName name="_125">[4]ЗКР!#REF!</definedName>
    <definedName name="_125____123Graph_XCHART_3" hidden="1">#REF!</definedName>
    <definedName name="_126">[4]Лист1!$A$90</definedName>
    <definedName name="_126____123Graph_XCHART_4" hidden="1">#REF!</definedName>
    <definedName name="_127">[4]Лист1!$C$90</definedName>
    <definedName name="_127___123Graph_ACHART_4" hidden="1">#REF!</definedName>
    <definedName name="_128">[4]Лист1!$D$90</definedName>
    <definedName name="_128___123Graph_XCHART_3" hidden="1">#REF!</definedName>
    <definedName name="_129">[4]Лист1!$E$90</definedName>
    <definedName name="_129___123Graph_XCHART_4" hidden="1">#REF!</definedName>
    <definedName name="_13">[4]Лист1!$T$11</definedName>
    <definedName name="_13_________________________________________123Graph_ACHART_4" hidden="1">#REF!</definedName>
    <definedName name="_13____________123Graph_XCHART_3" hidden="1">#REF!</definedName>
    <definedName name="_130">[4]Лист1!$K$90</definedName>
    <definedName name="_130__123Graph_ACHART_4" hidden="1">#REF!</definedName>
    <definedName name="_131">[4]Лист1!$L$90</definedName>
    <definedName name="_131__123Graph_XCHART_3" hidden="1">#REF!</definedName>
    <definedName name="_132">[4]Лист1!$M$90</definedName>
    <definedName name="_132__123Graph_XCHART_4" hidden="1">#REF!</definedName>
    <definedName name="_133">[4]Лист1!$N$90</definedName>
    <definedName name="_134">[4]Лист1!$O$90</definedName>
    <definedName name="_134aaa" hidden="1">{#N/A,#N/A,FALSE,"Aging Summary";#N/A,#N/A,FALSE,"Ratio Analysis";#N/A,#N/A,FALSE,"Test 120 Day Accts";#N/A,#N/A,FALSE,"Tickmarks"}</definedName>
    <definedName name="_135">[4]Лист1!$Q$90</definedName>
    <definedName name="_136">[4]Лист1!$R$90</definedName>
    <definedName name="_137">[4]Лист1!$S$90</definedName>
    <definedName name="_138">[4]Лист1!$T$90</definedName>
    <definedName name="_14">[4]Лист1!$U$11</definedName>
    <definedName name="_14_________________________________________123Graph_XCHART_3" hidden="1">#REF!</definedName>
    <definedName name="_14____________123Graph_XCHART_4" hidden="1">#REF!</definedName>
    <definedName name="_14___123Graph_AЋЎ_а_в­л__Є_ЇЁв" hidden="1">[14]MAIN!#REF!</definedName>
    <definedName name="_140">[4]ЗКР!#REF!</definedName>
    <definedName name="_141">[4]Лист1!$V$90</definedName>
    <definedName name="_142">[4]Лист1!$W$90</definedName>
    <definedName name="_143">[4]Лист1!$AF$90</definedName>
    <definedName name="_144">[4]Лист1!$AG$90</definedName>
    <definedName name="_145">[4]Лист1!$AH$90</definedName>
    <definedName name="_146">[4]ЗКР!#REF!</definedName>
    <definedName name="_147">[4]ЗКР!#REF!</definedName>
    <definedName name="_148">[4]ЗКР!#REF!</definedName>
    <definedName name="_149">[4]ЗКР!#REF!</definedName>
    <definedName name="_15">[4]ЗКР!#REF!</definedName>
    <definedName name="_15_________________________________________123Graph_XCHART_4" hidden="1">#REF!</definedName>
    <definedName name="_15___________123Graph_ACHART_4" hidden="1">#REF!</definedName>
    <definedName name="_150">[4]ЗКР!#REF!</definedName>
    <definedName name="_151">[4]Отгрузка!#REF!</definedName>
    <definedName name="_152">[4]Отгрузка!#REF!</definedName>
    <definedName name="_153">[4]Отгрузка!#REF!</definedName>
    <definedName name="_154">[4]Отгрузка!#REF!</definedName>
    <definedName name="_155">[4]Отгрузка!#REF!</definedName>
    <definedName name="_156">[4]Отгрузка!#REF!</definedName>
    <definedName name="_157">[4]Отгрузка!#REF!</definedName>
    <definedName name="_158">[4]Отгрузка!#REF!</definedName>
    <definedName name="_159">[4]Отгрузка!#REF!</definedName>
    <definedName name="_16">[4]Лист1!$V$11</definedName>
    <definedName name="_16________________________________________123Graph_ACHART_4" hidden="1">#REF!</definedName>
    <definedName name="_16___________123Graph_XCHART_3" hidden="1">#REF!</definedName>
    <definedName name="_16____123Graph_EЋЎ_а_в­л__Є_ЇЁв" hidden="1">[15]MAIN!#REF!</definedName>
    <definedName name="_16___123Graph_BЋЎ_а_в­л__Є_ЇЁв" hidden="1">[14]MAIN!#REF!</definedName>
    <definedName name="_16__123Graph_EЋЎ_а_в­л__Є_ЇЁв" hidden="1">[10]MAIN!#REF!</definedName>
    <definedName name="_160">[4]Отгрузка!#REF!</definedName>
    <definedName name="_161">[4]Отгрузка!#REF!</definedName>
    <definedName name="_162">[4]Отгрузка!#REF!</definedName>
    <definedName name="_163">[4]Отгрузка!#REF!</definedName>
    <definedName name="_164">[4]Отгрузка!#REF!</definedName>
    <definedName name="_165">[4]Отгрузка!#REF!</definedName>
    <definedName name="_166">[4]Отгрузка!#REF!</definedName>
    <definedName name="_167">[4]Лист1!$A$8</definedName>
    <definedName name="_168">[4]Лист1!$B$8</definedName>
    <definedName name="_169">[4]Отгрузка!#REF!</definedName>
    <definedName name="_17">[4]Лист1!$W$11</definedName>
    <definedName name="_17________________________________________123Graph_XCHART_3" hidden="1">#REF!</definedName>
    <definedName name="_17___________123Graph_XCHART_4" hidden="1">#REF!</definedName>
    <definedName name="_170">[4]Отгрузка!#REF!</definedName>
    <definedName name="_171">[4]Отгрузка!#REF!</definedName>
    <definedName name="_172">[4]Отгрузка!#REF!</definedName>
    <definedName name="_173">[4]Отгрузка!#REF!</definedName>
    <definedName name="_174">[4]Отгрузка!#REF!</definedName>
    <definedName name="_175">[4]Отгрузка!#REF!</definedName>
    <definedName name="_176">[4]Отгрузка!#REF!</definedName>
    <definedName name="_177">[4]Отгрузка!#REF!</definedName>
    <definedName name="_178">[4]Лист1!$C$8</definedName>
    <definedName name="_179">[4]Лист1!$D$8</definedName>
    <definedName name="_18">[4]Лист1!$AF$11</definedName>
    <definedName name="_18________________________________________123Graph_XCHART_4" hidden="1">#REF!</definedName>
    <definedName name="_18__________123Graph_ACHART_4" hidden="1">#REF!</definedName>
    <definedName name="_180">[4]Лист1!$E$8</definedName>
    <definedName name="_181">[4]Лист1!$F$8</definedName>
    <definedName name="_182">[4]Лист1!$G$8</definedName>
    <definedName name="_183">[4]Лист1!$A$13</definedName>
    <definedName name="_184">[4]Лист1!$B$13</definedName>
    <definedName name="_185">[4]Отгрузка!#REF!</definedName>
    <definedName name="_186">[4]Отгрузка!#REF!</definedName>
    <definedName name="_187">[4]Отгрузка!#REF!</definedName>
    <definedName name="_188">[4]Отгрузка!#REF!</definedName>
    <definedName name="_189">[4]Отгрузка!#REF!</definedName>
    <definedName name="_19">[4]Лист1!$AG$11</definedName>
    <definedName name="_19_______________________________________123Graph_ACHART_4" hidden="1">#REF!</definedName>
    <definedName name="_19__________123Graph_XCHART_3" hidden="1">#REF!</definedName>
    <definedName name="_190">[4]Отгрузка!#REF!</definedName>
    <definedName name="_191">[4]Отгрузка!#REF!</definedName>
    <definedName name="_192">[4]Отгрузка!#REF!</definedName>
    <definedName name="_193">[4]Отгрузка!#REF!</definedName>
    <definedName name="_194">[4]Лист1!$C$13</definedName>
    <definedName name="_195">[4]Лист1!$D$13</definedName>
    <definedName name="_196">[4]Лист1!$E$13</definedName>
    <definedName name="_197">[4]Лист1!$F$13</definedName>
    <definedName name="_198">[4]Лист1!$G$13</definedName>
    <definedName name="_199">[4]Лист1!$A$17</definedName>
    <definedName name="_2">[4]Лист1!$Y$4</definedName>
    <definedName name="_2________________________________________________123Graph_XCHART_4" hidden="1">#REF!</definedName>
    <definedName name="_2________________123Graph_XCHART_4" hidden="1">#REF!</definedName>
    <definedName name="_2____123Graph_AЋЎ_а_в­л__Є_ЇЁв" hidden="1">[13]MAIN!#REF!</definedName>
    <definedName name="_2____123Graph_XCHART_3" hidden="1">#REF!</definedName>
    <definedName name="_2___123Graph_XCHART_3" hidden="1">#REF!</definedName>
    <definedName name="_2__123Graph_AChart_1A" hidden="1">#REF!</definedName>
    <definedName name="_2__123Graph_ACHART_4" hidden="1">#REF!</definedName>
    <definedName name="_2__123Graph_BChart_1A" hidden="1">#REF!</definedName>
    <definedName name="_2__123Graph_XCHART_3" hidden="1">#REF!</definedName>
    <definedName name="_20">[4]Лист1!$AH$11</definedName>
    <definedName name="_20_______________________________________123Graph_XCHART_3" hidden="1">#REF!</definedName>
    <definedName name="_20__________123Graph_XCHART_4" hidden="1">#REF!</definedName>
    <definedName name="_20____123Graph_XђҐ­в_ЎҐ_м­_бвм" hidden="1">[15]MAIN!#REF!</definedName>
    <definedName name="_20___123Graph_EЋЎ_а_в­л__Є_ЇЁв" hidden="1">[14]MAIN!#REF!</definedName>
    <definedName name="_20__123Graph_XђҐ­в_ЎҐ_м­_бвм" hidden="1">[10]MAIN!#REF!</definedName>
    <definedName name="_200">[4]Лист1!$B$17</definedName>
    <definedName name="_201">[4]Отгрузка!#REF!</definedName>
    <definedName name="_202">[4]Отгрузка!#REF!</definedName>
    <definedName name="_203">[4]Отгрузка!#REF!</definedName>
    <definedName name="_204">[4]Отгрузка!#REF!</definedName>
    <definedName name="_205">[4]Отгрузка!#REF!</definedName>
    <definedName name="_206">[4]Отгрузка!#REF!</definedName>
    <definedName name="_207">[4]Отгрузка!#REF!</definedName>
    <definedName name="_208">[4]Отгрузка!#REF!</definedName>
    <definedName name="_209">[4]Отгрузка!#REF!</definedName>
    <definedName name="_21">[4]ЗКР!#REF!</definedName>
    <definedName name="_21_______________________________________123Graph_XCHART_4" hidden="1">#REF!</definedName>
    <definedName name="_21_________123Graph_ACHART_4" hidden="1">#REF!</definedName>
    <definedName name="_210">[4]Лист1!$C$17</definedName>
    <definedName name="_211">[4]Лист1!$D$17</definedName>
    <definedName name="_213">[4]Лист1!$F$17</definedName>
    <definedName name="_214">[4]Лист1!$G$17</definedName>
    <definedName name="_215">[4]Лист1!$A$25</definedName>
    <definedName name="_216">[4]Лист1!$B$25</definedName>
    <definedName name="_217">[4]Отгрузка!#REF!</definedName>
    <definedName name="_218">[4]Отгрузка!#REF!</definedName>
    <definedName name="_219">[4]Лист1!$C$25</definedName>
    <definedName name="_22">[4]ЗКР!#REF!</definedName>
    <definedName name="_22______________________________________123Graph_ACHART_4" hidden="1">#REF!</definedName>
    <definedName name="_22_________123Graph_XCHART_3" hidden="1">#REF!</definedName>
    <definedName name="_22____123Graph_XЋЎ_а_з.__Єв._1" hidden="1">[15]MAIN!#REF!</definedName>
    <definedName name="_22___123Graph_XђҐ­в_ЎҐ_м­_бвм" hidden="1">[14]MAIN!#REF!</definedName>
    <definedName name="_22__123Graph_XЋЎ_а_з.__Єв._1" hidden="1">[10]MAIN!#REF!</definedName>
    <definedName name="_220">[4]Лист1!$D$25</definedName>
    <definedName name="_221">[4]Лист1!$E$25</definedName>
    <definedName name="_222">[4]Лист1!$F$25</definedName>
    <definedName name="_223">[4]Лист1!$G$25</definedName>
    <definedName name="_224">[4]Лист1!$H$25</definedName>
    <definedName name="_225">[4]Лист1!$I$25</definedName>
    <definedName name="_226">[4]Лист1!$J$25</definedName>
    <definedName name="_227">[4]Лист1!$K$25</definedName>
    <definedName name="_228">[4]Лист1!$L$25</definedName>
    <definedName name="_229">[4]Лист1!$M$25</definedName>
    <definedName name="_23">[4]ЗКР!#REF!</definedName>
    <definedName name="_23______________________________________123Graph_XCHART_3" hidden="1">#REF!</definedName>
    <definedName name="_23_________123Graph_XCHART_4" hidden="1">#REF!</definedName>
    <definedName name="_23___123Graph_XЋЎ_а_з.__Єв._1" hidden="1">[14]MAIN!#REF!</definedName>
    <definedName name="_230">[4]Лист1!$N$25</definedName>
    <definedName name="_231">[4]Лист1!$A$30</definedName>
    <definedName name="_232">[4]Лист1!$B$29</definedName>
    <definedName name="_233">[4]Отгрузка!#REF!</definedName>
    <definedName name="_234">[4]Отгрузка!#REF!</definedName>
    <definedName name="_235">[4]Лист1!$C$30</definedName>
    <definedName name="_236">[4]Лист1!$D$30</definedName>
    <definedName name="_237">[4]Лист1!$E$30</definedName>
    <definedName name="_238">[4]Лист1!$F$30</definedName>
    <definedName name="_239">[4]Лист1!$G$30</definedName>
    <definedName name="_24">[4]ЗКР!#REF!</definedName>
    <definedName name="_24______________________________________123Graph_XCHART_4" hidden="1">#REF!</definedName>
    <definedName name="_24________123Graph_ACHART_4" hidden="1">#REF!</definedName>
    <definedName name="_24____123Graph_XЋЎ_а_в­л__Є_ЇЁв" hidden="1">[15]MAIN!#REF!</definedName>
    <definedName name="_24___123Graph_XЋЎ_а_в­л__Є_ЇЁв" hidden="1">[14]MAIN!#REF!</definedName>
    <definedName name="_24__123Graph_XЋЎ_а_в­л__Є_ЇЁв" hidden="1">[10]MAIN!#REF!</definedName>
    <definedName name="_240">[4]Лист1!$H$30</definedName>
    <definedName name="_241">[4]Лист1!$I$30</definedName>
    <definedName name="_242">[4]Лист1!$J$30</definedName>
    <definedName name="_243">[4]Лист1!$K$30</definedName>
    <definedName name="_244">[4]Лист1!$L$30</definedName>
    <definedName name="_245">[4]Лист1!$M$30</definedName>
    <definedName name="_246">[4]Лист1!$N$30</definedName>
    <definedName name="_247">[4]Лист1!$A$33</definedName>
    <definedName name="_248">[4]Лист1!$B$33</definedName>
    <definedName name="_249">[4]Отгрузка!#REF!</definedName>
    <definedName name="_25">[4]ЗКР!#REF!</definedName>
    <definedName name="_25_____________________________________123Graph_ACHART_4" hidden="1">#REF!</definedName>
    <definedName name="_25________123Graph_XCHART_3" hidden="1">#REF!</definedName>
    <definedName name="_250">[4]Отгрузка!#REF!</definedName>
    <definedName name="_251">[4]Лист1!$C$33</definedName>
    <definedName name="_252">[4]Лист1!$D$33</definedName>
    <definedName name="_253">[4]Лист1!$E$33</definedName>
    <definedName name="_254">[4]Лист1!$F$33</definedName>
    <definedName name="_255">[4]Лист1!$G$33</definedName>
    <definedName name="_256">[4]Лист1!$H$33</definedName>
    <definedName name="_257">[4]Лист1!$I$33</definedName>
    <definedName name="_258">[4]Лист1!$J$33</definedName>
    <definedName name="_259">[4]Лист1!$K$33</definedName>
    <definedName name="_26">[4]Лист1!$A$14</definedName>
    <definedName name="_26_____________________________________123Graph_XCHART_3" hidden="1">#REF!</definedName>
    <definedName name="_26________123Graph_XCHART_4" hidden="1">#REF!</definedName>
    <definedName name="_260">[4]Лист1!$L$33</definedName>
    <definedName name="_261">[4]Лист1!$M$33</definedName>
    <definedName name="_262">[4]Лист1!$N$33</definedName>
    <definedName name="_263">[4]Лист1!$A$34</definedName>
    <definedName name="_264">[4]Лист1!$B$34</definedName>
    <definedName name="_265">[4]Отгрузка!#REF!</definedName>
    <definedName name="_266">[4]Отгрузка!#REF!</definedName>
    <definedName name="_267">[4]Лист1!$C$34</definedName>
    <definedName name="_268">[4]Лист1!$D$34</definedName>
    <definedName name="_269">[4]Лист1!$E$34</definedName>
    <definedName name="_27">[4]Лист1!$C$14</definedName>
    <definedName name="_27_____________________________________123Graph_XCHART_4" hidden="1">#REF!</definedName>
    <definedName name="_27_______123Graph_ACHART_4" hidden="1">#REF!</definedName>
    <definedName name="_270">[4]Отгрузка!$F$35</definedName>
    <definedName name="_271">[4]Лист1!$G$34</definedName>
    <definedName name="_272">[4]Лист1!$H$34</definedName>
    <definedName name="_273">[4]Лист1!$I$34</definedName>
    <definedName name="_274">[4]Лист1!$J$34</definedName>
    <definedName name="_275">[4]Лист1!$K$34</definedName>
    <definedName name="_276">[4]Лист1!$L$34</definedName>
    <definedName name="_277">[4]Лист1!$M$34</definedName>
    <definedName name="_278">[4]Лист1!$N$34</definedName>
    <definedName name="_279">[4]Лист1!$A$44</definedName>
    <definedName name="_28">[4]Лист1!$D$14</definedName>
    <definedName name="_28____________________________________123Graph_ACHART_4" hidden="1">#REF!</definedName>
    <definedName name="_28_______123Graph_XCHART_3" hidden="1">#REF!</definedName>
    <definedName name="_28___123Graph_AЋЎ_а_в­л__Є_ЇЁв" hidden="1">[16]MAIN!#REF!</definedName>
    <definedName name="_280">[4]Лист1!$B$44</definedName>
    <definedName name="_282">[4]Лист1!$D$44</definedName>
    <definedName name="_284">[4]Лист1!$F$44</definedName>
    <definedName name="_285">[4]Лист1!$G$44</definedName>
    <definedName name="_286">[4]Лист1!$H$44</definedName>
    <definedName name="_287">[4]Лист1!$I$44</definedName>
    <definedName name="_288">[4]Лист1!$J$44</definedName>
    <definedName name="_289">[4]Лист1!$K$44</definedName>
    <definedName name="_29">[4]Лист1!$Y$31</definedName>
    <definedName name="_29____________________________________123Graph_XCHART_3" hidden="1">#REF!</definedName>
    <definedName name="_29_______123Graph_XCHART_4" hidden="1">#REF!</definedName>
    <definedName name="_290">[4]Лист1!$L$44</definedName>
    <definedName name="_291">[4]Лист1!$M$44</definedName>
    <definedName name="_292">[4]Лист1!$N$44</definedName>
    <definedName name="_293">[4]Лист1!$O$44</definedName>
    <definedName name="_294">[4]Лист1!$P$44</definedName>
    <definedName name="_295">[4]Отгрузка!#REF!</definedName>
    <definedName name="_296">[4]Отгрузка!#REF!</definedName>
    <definedName name="_297">[4]Отгрузка!#REF!</definedName>
    <definedName name="_298">[4]Отгрузка!#REF!</definedName>
    <definedName name="_299">[4]Отгрузка!#REF!</definedName>
    <definedName name="_3">[4]Лист1!$D$11</definedName>
    <definedName name="_3_______________________________________________123Graph_XCHART_4" hidden="1">#REF!</definedName>
    <definedName name="_3_______________123Graph_ACHART_4" hidden="1">#REF!</definedName>
    <definedName name="_3____123Graph_XCHART_4" hidden="1">#REF!</definedName>
    <definedName name="_3___123Graph_XCHART_4" hidden="1">#REF!</definedName>
    <definedName name="_3__123Graph_BChart_1A" hidden="1">#REF!</definedName>
    <definedName name="_3__123Graph_XCHART_3" hidden="1">#REF!</definedName>
    <definedName name="_3__123Graph_XCHART_4" hidden="1">#REF!</definedName>
    <definedName name="_30">[4]Лист1!$Y$32</definedName>
    <definedName name="_30____________________________________123Graph_XCHART_4" hidden="1">#REF!</definedName>
    <definedName name="_30______123Graph_ACHART_4" hidden="1">#REF!</definedName>
    <definedName name="_300">[4]Отгрузка!#REF!</definedName>
    <definedName name="_301">[4]Отгрузка!#REF!</definedName>
    <definedName name="_302">[4]Отгрузка!#REF!</definedName>
    <definedName name="_303">[4]Отгрузка!#REF!</definedName>
    <definedName name="_304">[4]Отгрузка!#REF!</definedName>
    <definedName name="_305">[4]Отгрузка!#REF!</definedName>
    <definedName name="_306">[4]Отгрузка!#REF!</definedName>
    <definedName name="_307">[4]Отгрузка!#REF!</definedName>
    <definedName name="_308">[4]Отгрузка!#REF!</definedName>
    <definedName name="_309">[4]Отгрузка!#REF!</definedName>
    <definedName name="_31">[4]Лист1!$Y$33</definedName>
    <definedName name="_31___________________________________123Graph_ACHART_4" hidden="1">#REF!</definedName>
    <definedName name="_31______123Graph_XCHART_3" hidden="1">#REF!</definedName>
    <definedName name="_310">[4]Отгрузка!#REF!</definedName>
    <definedName name="_311">[4]Лист1!$A$48</definedName>
    <definedName name="_312">[4]Лист1!$B$48</definedName>
    <definedName name="_313">[4]Лист1!$C$48</definedName>
    <definedName name="_314">[4]Лист1!$D$48</definedName>
    <definedName name="_316">[4]Лист1!$F$48</definedName>
    <definedName name="_317">[4]Лист1!$G$48</definedName>
    <definedName name="_318">[4]Лист1!$H$48</definedName>
    <definedName name="_319">[4]Лист1!$I$48</definedName>
    <definedName name="_32">[4]Лист1!$Y$34</definedName>
    <definedName name="_32___________________________________123Graph_XCHART_3" hidden="1">#REF!</definedName>
    <definedName name="_32______123Graph_XCHART_4" hidden="1">#REF!</definedName>
    <definedName name="_32___123Graph_BЋЎ_а_в­л__Є_ЇЁв" hidden="1">[16]MAIN!#REF!</definedName>
    <definedName name="_320">[4]Лист1!$J$48</definedName>
    <definedName name="_321">[4]Лист1!$K$48</definedName>
    <definedName name="_322">[4]Лист1!$L$48</definedName>
    <definedName name="_323">[4]Лист1!$M$48</definedName>
    <definedName name="_324">[4]Лист1!$N$48</definedName>
    <definedName name="_325">[4]Лист1!$O$48</definedName>
    <definedName name="_326">[4]Лист1!$P$48</definedName>
    <definedName name="_327">[4]Лист1!$A$70</definedName>
    <definedName name="_328">[4]Отгрузка!#REF!</definedName>
    <definedName name="_329">[4]Лист1!$C$69</definedName>
    <definedName name="_33">[4]Лист1!$Y$35</definedName>
    <definedName name="_33___________________________________123Graph_XCHART_4" hidden="1">#REF!</definedName>
    <definedName name="_33_____123Graph_ACHART_4" hidden="1">#REF!</definedName>
    <definedName name="_330">[4]Лист1!$D$69</definedName>
    <definedName name="_331">[4]Лист1!$E$66</definedName>
    <definedName name="_332">[4]Лист1!$F$66</definedName>
    <definedName name="_333">[4]Лист1!$G$66</definedName>
    <definedName name="_334">[4]Лист1!$H$66</definedName>
    <definedName name="_335">[4]Лист1!$I$66</definedName>
    <definedName name="_336">[4]Лист1!$J$66</definedName>
    <definedName name="_337">[4]Лист1!$K$66</definedName>
    <definedName name="_338">[4]Лист1!$L$66</definedName>
    <definedName name="_339">[4]Лист1!$M$66</definedName>
    <definedName name="_34">[4]Лист1!$Y$36</definedName>
    <definedName name="_34__________________________________123Graph_ACHART_4" hidden="1">#REF!</definedName>
    <definedName name="_34_____123Graph_XCHART_3" hidden="1">#REF!</definedName>
    <definedName name="_340">[4]Лист1!$N$66</definedName>
    <definedName name="_341">[4]Лист1!$O$66</definedName>
    <definedName name="_342">[4]Лист1!$P$66</definedName>
    <definedName name="_343">[4]Лист1!$A$67</definedName>
    <definedName name="_344">[4]Лист1!$B$67</definedName>
    <definedName name="_345">[4]Лист1!$C$67</definedName>
    <definedName name="_345345" hidden="1">{"glc1",#N/A,FALSE,"GLC";"glc2",#N/A,FALSE,"GLC";"glc3",#N/A,FALSE,"GLC";"glc4",#N/A,FALSE,"GLC";"glc5",#N/A,FALSE,"GLC"}</definedName>
    <definedName name="_346">[4]Лист1!$D$67</definedName>
    <definedName name="_347">[4]Лист1!$E$67</definedName>
    <definedName name="_348">[4]Лист1!$F$67</definedName>
    <definedName name="_349">[4]Лист1!$G$67</definedName>
    <definedName name="_35">[4]Лист1!$Y$37</definedName>
    <definedName name="_35__________________________________123Graph_XCHART_3" hidden="1">#REF!</definedName>
    <definedName name="_35_____123Graph_XCHART_4" hidden="1">#REF!</definedName>
    <definedName name="_350">[4]Лист1!$H$67</definedName>
    <definedName name="_351">[4]Лист1!$I$67</definedName>
    <definedName name="_352">[4]Лист1!$J$67</definedName>
    <definedName name="_353">[4]Лист1!$K$67</definedName>
    <definedName name="_354">[4]Лист1!$L$67</definedName>
    <definedName name="_355">[4]Лист1!$M$67</definedName>
    <definedName name="_356">[4]Лист1!$N$67</definedName>
    <definedName name="_357">[4]Лист1!$O$67</definedName>
    <definedName name="_358">[4]Лист1!$P$67</definedName>
    <definedName name="_359">[4]Лист1!$A$69</definedName>
    <definedName name="_36">[4]Лист1!$Y$38</definedName>
    <definedName name="_36__________________________________123Graph_XCHART_4" hidden="1">#REF!</definedName>
    <definedName name="_36____123Graph_ACHART_4" hidden="1">#REF!</definedName>
    <definedName name="_360">[4]Отгрузка!#REF!</definedName>
    <definedName name="_361">[4]Отгрузка!#REF!</definedName>
    <definedName name="_362">[4]Отгрузка!#REF!</definedName>
    <definedName name="_363">[4]Лист1!$E$69</definedName>
    <definedName name="_364">[4]Лист1!$F$69</definedName>
    <definedName name="_365">[4]Лист1!$G$69</definedName>
    <definedName name="_366">[4]Лист1!$H$69</definedName>
    <definedName name="_367">[4]Лист1!$I$69</definedName>
    <definedName name="_368">[4]Лист1!$J$69</definedName>
    <definedName name="_369">[4]Лист1!$K$69</definedName>
    <definedName name="_37">[4]Лист1!$Y$39</definedName>
    <definedName name="_37_________________________________123Graph_ACHART_4" hidden="1">#REF!</definedName>
    <definedName name="_37____123Graph_XCHART_3" hidden="1">#REF!</definedName>
    <definedName name="_370">[4]Лист1!$Q$69</definedName>
    <definedName name="_371">[4]Лист1!$R$69</definedName>
    <definedName name="_372">[4]Лист1!$N$69</definedName>
    <definedName name="_373">[4]Отгрузка!#REF!</definedName>
    <definedName name="_374">[4]Отгрузка!#REF!</definedName>
    <definedName name="_375">[4]Отгрузка!#REF!</definedName>
    <definedName name="_376">[4]Отгрузка!#REF!</definedName>
    <definedName name="_377">[4]Отгрузка!#REF!</definedName>
    <definedName name="_378">[4]Отгрузка!#REF!</definedName>
    <definedName name="_379">[4]Отгрузка!#REF!</definedName>
    <definedName name="_38">[4]Лист1!$T$14</definedName>
    <definedName name="_38_________________________________123Graph_XCHART_3" hidden="1">#REF!</definedName>
    <definedName name="_38____123Graph_XCHART_4" hidden="1">#REF!</definedName>
    <definedName name="_380">[4]Отгрузка!#REF!</definedName>
    <definedName name="_381">[4]Отгрузка!#REF!</definedName>
    <definedName name="_382">[4]Отгрузка!#REF!</definedName>
    <definedName name="_383">[4]Отгрузка!#REF!</definedName>
    <definedName name="_384">[4]Отгрузка!#REF!</definedName>
    <definedName name="_385">[4]Отгрузка!#REF!</definedName>
    <definedName name="_386">[4]Отгрузка!#REF!</definedName>
    <definedName name="_387">[4]Отгрузка!#REF!</definedName>
    <definedName name="_388">[4]Отгрузка!#REF!</definedName>
    <definedName name="_389">[4]Отгрузка!#REF!</definedName>
    <definedName name="_39">[4]Лист1!$U$14</definedName>
    <definedName name="_39_________________________________123Graph_XCHART_4" hidden="1">#REF!</definedName>
    <definedName name="_39___123Graph_ACHART_4" hidden="1">#REF!</definedName>
    <definedName name="_390">[4]Отгрузка!#REF!</definedName>
    <definedName name="_391">[4]Отгрузка!#REF!</definedName>
    <definedName name="_392">[4]Отгрузка!#REF!</definedName>
    <definedName name="_393">[4]Отгрузка!#REF!</definedName>
    <definedName name="_394">[4]Отгрузка!#REF!</definedName>
    <definedName name="_395">[4]Отгрузка!#REF!</definedName>
    <definedName name="_396">[4]Отгрузка!#REF!</definedName>
    <definedName name="_397">[4]Отгрузка!#REF!</definedName>
    <definedName name="_398">[4]Отгрузка!#REF!</definedName>
    <definedName name="_399">[4]Отгрузка!#REF!</definedName>
    <definedName name="_4">[4]Лист1!$Y$6</definedName>
    <definedName name="_4______________________________________________123Graph_XCHART_4" hidden="1">#REF!</definedName>
    <definedName name="_4_______________123Graph_XCHART_3" hidden="1">#REF!</definedName>
    <definedName name="_4____123Graph_AЋЎ_а_в­л__Є_ЇЁв" hidden="1">[15]MAIN!#REF!</definedName>
    <definedName name="_4____123Graph_BЋЎ_а_в­л__Є_ЇЁв" hidden="1">[13]MAIN!#REF!</definedName>
    <definedName name="_4___123Graph_ACHART_4" hidden="1">#REF!</definedName>
    <definedName name="_4__123Graph_ACHART_4" hidden="1">#REF!</definedName>
    <definedName name="_4__123Graph_AЋЎ_а_в­л__Є_ЇЁв" hidden="1">[10]MAIN!#REF!</definedName>
    <definedName name="_4__123Graph_BChart_1A" hidden="1">#REF!</definedName>
    <definedName name="_4__123Graph_XCHART_3" hidden="1">#REF!</definedName>
    <definedName name="_4__123Graph_XCHART_4" hidden="1">#REF!</definedName>
    <definedName name="_40">[4]ЗКР!#REF!</definedName>
    <definedName name="_40________________________________123Graph_ACHART_4" hidden="1">#REF!</definedName>
    <definedName name="_40___123Graph_EЋЎ_а_в­л__Є_ЇЁв" hidden="1">[16]MAIN!#REF!</definedName>
    <definedName name="_40___123Graph_XCHART_3" hidden="1">#REF!</definedName>
    <definedName name="_400">[4]Отгрузка!#REF!</definedName>
    <definedName name="_401">[4]Отгрузка!#REF!</definedName>
    <definedName name="_402">[4]Отгрузка!#REF!</definedName>
    <definedName name="_403">[4]Отгрузка!#REF!</definedName>
    <definedName name="_404">[4]Отгрузка!#REF!</definedName>
    <definedName name="_405">[4]Отгрузка!#REF!</definedName>
    <definedName name="_406">[4]Отгрузка!#REF!</definedName>
    <definedName name="_407">[4]Отгрузка!#REF!</definedName>
    <definedName name="_408">[4]Отгрузка!#REF!</definedName>
    <definedName name="_409">[4]Отгрузка!#REF!</definedName>
    <definedName name="_41">[4]Лист1!$V$14</definedName>
    <definedName name="_41________________________________123Graph_XCHART_3" hidden="1">#REF!</definedName>
    <definedName name="_41___123Graph_XCHART_4" hidden="1">#REF!</definedName>
    <definedName name="_410">[4]Отгрузка!#REF!</definedName>
    <definedName name="_411">[4]Отгрузка!#REF!</definedName>
    <definedName name="_412">[4]Отгрузка!#REF!</definedName>
    <definedName name="_413">[4]Отгрузка!#REF!</definedName>
    <definedName name="_414">[4]Отгрузка!#REF!</definedName>
    <definedName name="_415">[4]Отгрузка!#REF!</definedName>
    <definedName name="_416">[4]Отгрузка!#REF!</definedName>
    <definedName name="_417">[4]Отгрузка!#REF!</definedName>
    <definedName name="_418">[4]Отгрузка!#REF!</definedName>
    <definedName name="_419">[4]Отгрузка!#REF!</definedName>
    <definedName name="_42">[4]Лист1!$W$14</definedName>
    <definedName name="_42________________________________123Graph_XCHART_4" hidden="1">#REF!</definedName>
    <definedName name="_42__123Graph_ACHART_4" hidden="1">#REF!</definedName>
    <definedName name="_420">[4]Отгрузка!#REF!</definedName>
    <definedName name="_421">[4]Отгрузка!#REF!</definedName>
    <definedName name="_422">[4]Отгрузка!#REF!</definedName>
    <definedName name="_423">[4]Лист1!$A$71</definedName>
    <definedName name="_424">[4]Лист1!$B$71</definedName>
    <definedName name="_425">[4]Лист1!$C$71</definedName>
    <definedName name="_426">[4]Лист1!$D$71</definedName>
    <definedName name="_427">[4]Лист1!$E$71</definedName>
    <definedName name="_428">[4]Лист1!$F$71</definedName>
    <definedName name="_429">[4]Лист1!$G$71</definedName>
    <definedName name="_43">[4]Лист1!$AF$14</definedName>
    <definedName name="_43_______________________________123Graph_ACHART_4" hidden="1">#REF!</definedName>
    <definedName name="_43__123Graph_XCHART_3" hidden="1">#REF!</definedName>
    <definedName name="_430">[4]Лист1!$H$71</definedName>
    <definedName name="_431">[4]Лист1!$I$71</definedName>
    <definedName name="_432">[4]Лист1!$J$71</definedName>
    <definedName name="_433">[4]Лист1!$K$71</definedName>
    <definedName name="_434">[4]Лист1!$L$71</definedName>
    <definedName name="_435">[4]Лист1!$M$71</definedName>
    <definedName name="_436">[4]Лист1!$N$71</definedName>
    <definedName name="_437">[4]Лист1!$O$71</definedName>
    <definedName name="_438">[4]Лист1!$P$71</definedName>
    <definedName name="_439">[4]Лист1!$A$79</definedName>
    <definedName name="_44">[4]Лист1!$AG$14</definedName>
    <definedName name="_44_______________________________123Graph_XCHART_3" hidden="1">#REF!</definedName>
    <definedName name="_44___123Graph_XђҐ­в_ЎҐ_м­_бвм" hidden="1">[16]MAIN!#REF!</definedName>
    <definedName name="_44__123Graph_XCHART_4" hidden="1">#REF!</definedName>
    <definedName name="_440">[4]Лист1!$B$79</definedName>
    <definedName name="_441">[4]Лист1!$C$79</definedName>
    <definedName name="_442">[4]Лист1!$D$79</definedName>
    <definedName name="_443">[4]Лист1!$E$79</definedName>
    <definedName name="_444">[4]Лист1!$F$79</definedName>
    <definedName name="_446">[4]Лист1!$H$79</definedName>
    <definedName name="_447">[4]Отгрузка!$I$80</definedName>
    <definedName name="_448">[4]Лист1!$J$79</definedName>
    <definedName name="_449">[4]Лист1!$K$79</definedName>
    <definedName name="_45">[4]Лист1!$AH$14</definedName>
    <definedName name="_45_______________________________123Graph_XCHART_4" hidden="1">#REF!</definedName>
    <definedName name="_450">[4]Лист1!$L$79</definedName>
    <definedName name="_451">[4]Лист1!$M$79</definedName>
    <definedName name="_452">[4]Лист1!$N$79</definedName>
    <definedName name="_453">[4]Лист1!$O$79</definedName>
    <definedName name="_454">[4]Лист1!$P$79</definedName>
    <definedName name="_455">[4]Лист1!$A$7</definedName>
    <definedName name="_456">[4]Лист1!$C$7</definedName>
    <definedName name="_457">[4]Лист1!$D$7</definedName>
    <definedName name="_458">[4]Лист1!$E$7</definedName>
    <definedName name="_459">[4]Лист1!$M$7</definedName>
    <definedName name="_46">[4]ЗКР!#REF!</definedName>
    <definedName name="_46______________________________123Graph_ACHART_4" hidden="1">#REF!</definedName>
    <definedName name="_46___123Graph_XЋЎ_а_з.__Єв._1" hidden="1">[16]MAIN!#REF!</definedName>
    <definedName name="_460">[4]Лист1!$L$7</definedName>
    <definedName name="_461">[4]ЗКР!#REF!</definedName>
    <definedName name="_462">[4]Лист1!$N$7</definedName>
    <definedName name="_463">[4]Лист1!$O$7</definedName>
    <definedName name="_464">[4]Лист1!$Q$7</definedName>
    <definedName name="_465">[4]Лист1!$R$7</definedName>
    <definedName name="_466">[4]Лист1!$S$7</definedName>
    <definedName name="_467">[4]Лист1!$T$7</definedName>
    <definedName name="_468">[4]Лист1!$U$7</definedName>
    <definedName name="_469">[4]ЗКР!#REF!</definedName>
    <definedName name="_47">[4]ЗКР!#REF!</definedName>
    <definedName name="_47______________________________123Graph_XCHART_3" hidden="1">#REF!</definedName>
    <definedName name="_470">[4]Лист1!$V$7</definedName>
    <definedName name="_471">[4]Лист1!$W$7</definedName>
    <definedName name="_472">[4]Лист1!$AF$7</definedName>
    <definedName name="_473">[4]Лист1!$AG$7</definedName>
    <definedName name="_474">[4]Лист1!$AH$7</definedName>
    <definedName name="_475">[4]ЗКР!#REF!</definedName>
    <definedName name="_476">[4]ЗКР!#REF!</definedName>
    <definedName name="_477">[4]ЗКР!#REF!</definedName>
    <definedName name="_478">[4]ЗКР!#REF!</definedName>
    <definedName name="_479">[4]ЗКР!#REF!</definedName>
    <definedName name="_48">[4]ЗКР!#REF!</definedName>
    <definedName name="_48______________________________123Graph_XCHART_4" hidden="1">#REF!</definedName>
    <definedName name="_48___123Graph_XЋЎ_а_в­л__Є_ЇЁв" hidden="1">[16]MAIN!#REF!</definedName>
    <definedName name="_480">[4]Лист1!$A$8</definedName>
    <definedName name="_481">[4]Лист1!$C$8</definedName>
    <definedName name="_482">[4]Лист1!$D$8</definedName>
    <definedName name="_483">[4]Лист1!$E$8</definedName>
    <definedName name="_484">[4]Лист1!$K$8</definedName>
    <definedName name="_485">[4]Лист1!$L$8</definedName>
    <definedName name="_486">[4]Лист1!$M$8</definedName>
    <definedName name="_487">[4]Лист1!$N$8</definedName>
    <definedName name="_488">[4]Лист1!$O$8</definedName>
    <definedName name="_489">[4]Лист1!$Q$8</definedName>
    <definedName name="_49">[4]ЗКР!#REF!</definedName>
    <definedName name="_49_____________________________123Graph_ACHART_4" hidden="1">#REF!</definedName>
    <definedName name="_490">[4]Лист1!$R$8</definedName>
    <definedName name="_491">[4]Лист1!$S$8</definedName>
    <definedName name="_492">[4]Лист1!$T$8</definedName>
    <definedName name="_493">[4]Лист1!$U$8</definedName>
    <definedName name="_494">[4]ЗКР!#REF!</definedName>
    <definedName name="_495">[4]Лист1!$V$8</definedName>
    <definedName name="_496">[4]Лист1!$W$8</definedName>
    <definedName name="_497">[4]Лист1!$AF$8</definedName>
    <definedName name="_498">[4]Лист1!$AG$8</definedName>
    <definedName name="_499">[4]Лист1!$AH$8</definedName>
    <definedName name="_4aaa" hidden="1">{#N/A,#N/A,FALSE,"Aging Summary";#N/A,#N/A,FALSE,"Ratio Analysis";#N/A,#N/A,FALSE,"Test 120 Day Accts";#N/A,#N/A,FALSE,"Tickmarks"}</definedName>
    <definedName name="_5">[4]Лист1!$Y$7</definedName>
    <definedName name="_5_____________________________________________123Graph_XCHART_4" hidden="1">#REF!</definedName>
    <definedName name="_5_______________123Graph_XCHART_4" hidden="1">#REF!</definedName>
    <definedName name="_5___123Graph_XCHART_3" hidden="1">#REF!</definedName>
    <definedName name="_5__123Graph_XCHART_3" hidden="1">#REF!</definedName>
    <definedName name="_5__123Graph_XCHART_4" hidden="1">#REF!</definedName>
    <definedName name="_50">[4]ЗКР!#REF!</definedName>
    <definedName name="_50_____________________________123Graph_XCHART_3" hidden="1">#REF!</definedName>
    <definedName name="_500">[4]ЗКР!#REF!</definedName>
    <definedName name="_501">[4]ЗКР!#REF!</definedName>
    <definedName name="_502">[4]ЗКР!#REF!</definedName>
    <definedName name="_503">[4]ЗКР!#REF!</definedName>
    <definedName name="_504">[4]ЗКР!#REF!</definedName>
    <definedName name="_505">[4]Лист1!$A$9</definedName>
    <definedName name="_506">[4]Лист1!$C$9</definedName>
    <definedName name="_507">[4]Лист1!$D$9</definedName>
    <definedName name="_508">[4]Лист1!$E$9</definedName>
    <definedName name="_509">[4]Лист1!$K$9</definedName>
    <definedName name="_51">[4]Лист1!$A$23</definedName>
    <definedName name="_51_____________________________123Graph_XCHART_4" hidden="1">#REF!</definedName>
    <definedName name="_510">[4]Лист1!$L$9</definedName>
    <definedName name="_511">[4]Лист1!$M$9</definedName>
    <definedName name="_512">[4]Лист1!$N$9</definedName>
    <definedName name="_513">[4]Лист1!$O$9</definedName>
    <definedName name="_514">[4]Лист1!$Q$9</definedName>
    <definedName name="_515">[4]Лист1!$R$9</definedName>
    <definedName name="_516">[4]Лист1!$S$9</definedName>
    <definedName name="_517">[4]Лист1!$T$9</definedName>
    <definedName name="_518">[4]Лист1!$U$9</definedName>
    <definedName name="_519">[4]ЗКР!#REF!</definedName>
    <definedName name="_52">[4]Лист1!$C$23</definedName>
    <definedName name="_52____________________________123Graph_ACHART_4" hidden="1">#REF!</definedName>
    <definedName name="_520">[4]Лист1!$V$9</definedName>
    <definedName name="_521">[4]Лист1!$W$9</definedName>
    <definedName name="_522">[4]Лист1!$AF$9</definedName>
    <definedName name="_523">[4]Лист1!$AG$9</definedName>
    <definedName name="_524">[4]Лист1!$AH$9</definedName>
    <definedName name="_525">[4]ЗКР!#REF!</definedName>
    <definedName name="_526">[4]ЗКР!#REF!</definedName>
    <definedName name="_527">[4]ЗКР!#REF!</definedName>
    <definedName name="_528">[4]ЗКР!#REF!</definedName>
    <definedName name="_529">[4]ЗКР!#REF!</definedName>
    <definedName name="_53">[4]Лист1!$D$23</definedName>
    <definedName name="_53____________________________123Graph_XCHART_3" hidden="1">#REF!</definedName>
    <definedName name="_54">[4]Лист1!$E$23</definedName>
    <definedName name="_54____________________________123Graph_XCHART_4" hidden="1">#REF!</definedName>
    <definedName name="_54__123Graph_AЋЎ_а_в­л__Є_ЇЁв" hidden="1">[17]MAIN!#REF!</definedName>
    <definedName name="_55">[4]Лист1!$K$23</definedName>
    <definedName name="_55___________________________123Graph_ACHART_4" hidden="1">#REF!</definedName>
    <definedName name="_56">[4]Лист1!$L$23</definedName>
    <definedName name="_56___________________________123Graph_XCHART_3" hidden="1">#REF!</definedName>
    <definedName name="_57">[4]Лист1!$M$23</definedName>
    <definedName name="_57___________________________123Graph_XCHART_4" hidden="1">#REF!</definedName>
    <definedName name="_58">[4]Лист1!$N$23</definedName>
    <definedName name="_58__________________________123Graph_ACHART_4" hidden="1">#REF!</definedName>
    <definedName name="_59">[4]Лист1!$O$23</definedName>
    <definedName name="_59__________________________123Graph_XCHART_3" hidden="1">#REF!</definedName>
    <definedName name="_5aaa" hidden="1">{#N/A,#N/A,FALSE,"Aging Summary";#N/A,#N/A,FALSE,"Ratio Analysis";#N/A,#N/A,FALSE,"Test 120 Day Accts";#N/A,#N/A,FALSE,"Tickmarks"}</definedName>
    <definedName name="_6">[4]Лист1!$Y$8</definedName>
    <definedName name="_6____________________________________________123Graph_XCHART_4" hidden="1">#REF!</definedName>
    <definedName name="_6______________123Graph_ACHART_4" hidden="1">#REF!</definedName>
    <definedName name="_6___123Graph_XCHART_4" hidden="1">#REF!</definedName>
    <definedName name="_6__123Graph_XCHART_4" hidden="1">#REF!</definedName>
    <definedName name="_60">[4]Лист1!$Q$23</definedName>
    <definedName name="_60__________________________123Graph_XCHART_4" hidden="1">#REF!</definedName>
    <definedName name="_60__123Graph_BЋЎ_а_в­л__Є_ЇЁв" hidden="1">[17]MAIN!#REF!</definedName>
    <definedName name="_61">[4]Лист1!$R$23</definedName>
    <definedName name="_61_________________________123Graph_ACHART_4" hidden="1">#REF!</definedName>
    <definedName name="_62">[4]Лист1!$Y$64</definedName>
    <definedName name="_62_________________________123Graph_XCHART_3" hidden="1">#REF!</definedName>
    <definedName name="_63">[4]Лист1!$T$23</definedName>
    <definedName name="_63_________________________123Graph_XCHART_4" hidden="1">#REF!</definedName>
    <definedName name="_64">[4]ЗКР!$U$23</definedName>
    <definedName name="_64________________________123Graph_ACHART_4" hidden="1">#REF!</definedName>
    <definedName name="_65">[4]ЗКР!#REF!</definedName>
    <definedName name="_65________________________123Graph_XCHART_3" hidden="1">#REF!</definedName>
    <definedName name="_66">[4]Лист1!$V$23</definedName>
    <definedName name="_66________________________123Graph_XCHART_4" hidden="1">#REF!</definedName>
    <definedName name="_67">[4]Лист1!$W$23</definedName>
    <definedName name="_67_______________________123Graph_ACHART_4" hidden="1">#REF!</definedName>
    <definedName name="_68">[4]Лист1!$AF$23</definedName>
    <definedName name="_68_______________________123Graph_XCHART_3" hidden="1">#REF!</definedName>
    <definedName name="_69">[4]Лист1!$AG$23</definedName>
    <definedName name="_69_______________________123Graph_XCHART_4" hidden="1">#REF!</definedName>
    <definedName name="_6aaa" hidden="1">{#N/A,#N/A,FALSE,"Aging Summary";#N/A,#N/A,FALSE,"Ratio Analysis";#N/A,#N/A,FALSE,"Test 120 Day Accts";#N/A,#N/A,FALSE,"Tickmarks"}</definedName>
    <definedName name="_7">[4]Лист1!$Y$9</definedName>
    <definedName name="_7___________________________________________123Graph_ACHART_4" hidden="1">#REF!</definedName>
    <definedName name="_7______________123Graph_XCHART_3" hidden="1">#REF!</definedName>
    <definedName name="_7__123Graph_ACHART_4" hidden="1">#REF!</definedName>
    <definedName name="_70">[4]Лист1!$AH$23</definedName>
    <definedName name="_70______________________123Graph_ACHART_4" hidden="1">#REF!</definedName>
    <definedName name="_71">[4]ЗКР!#REF!</definedName>
    <definedName name="_71______________________123Graph_XCHART_3" hidden="1">#REF!</definedName>
    <definedName name="_72">[4]ЗКР!#REF!</definedName>
    <definedName name="_72______________________123Graph_XCHART_4" hidden="1">#REF!</definedName>
    <definedName name="_72__123Graph_EЋЎ_а_в­л__Є_ЇЁв" hidden="1">[17]MAIN!#REF!</definedName>
    <definedName name="_73">[4]ЗКР!#REF!</definedName>
    <definedName name="_73_____________________123Graph_ACHART_4" hidden="1">#REF!</definedName>
    <definedName name="_74">[4]ЗКР!#REF!</definedName>
    <definedName name="_74_____________________123Graph_XCHART_3" hidden="1">#REF!</definedName>
    <definedName name="_75">[4]ЗКР!#REF!</definedName>
    <definedName name="_75_____________________123Graph_XCHART_4" hidden="1">#REF!</definedName>
    <definedName name="_76">[4]Лист1!$A$49</definedName>
    <definedName name="_76____________________123Graph_ACHART_4" hidden="1">#REF!</definedName>
    <definedName name="_77">[4]Лист1!$C$49</definedName>
    <definedName name="_77____________________123Graph_XCHART_3" hidden="1">#REF!</definedName>
    <definedName name="_78">[4]Лист1!$D$49</definedName>
    <definedName name="_78____________________123Graph_XCHART_4" hidden="1">#REF!</definedName>
    <definedName name="_78__123Graph_XђҐ­в_ЎҐ_м­_бвм" hidden="1">[17]MAIN!#REF!</definedName>
    <definedName name="_79">[4]Лист1!$E$49</definedName>
    <definedName name="_79___________________123Graph_ACHART_4" hidden="1">#REF!</definedName>
    <definedName name="_8">[4]Лист1!$Y$10</definedName>
    <definedName name="_8___________________________________________123Graph_XCHART_3" hidden="1">#REF!</definedName>
    <definedName name="_8______________123Graph_XCHART_4" hidden="1">#REF!</definedName>
    <definedName name="_8____123Graph_BЋЎ_а_в­л__Є_ЇЁв" hidden="1">[15]MAIN!#REF!</definedName>
    <definedName name="_8____123Graph_EЋЎ_а_в­л__Є_ЇЁв" hidden="1">[13]MAIN!#REF!</definedName>
    <definedName name="_8__123Graph_BЋЎ_а_в­л__Є_ЇЁв" hidden="1">[10]MAIN!#REF!</definedName>
    <definedName name="_8__123Graph_XCHART_3" hidden="1">#REF!</definedName>
    <definedName name="_80">[4]Лист1!$K$49</definedName>
    <definedName name="_80___________________123Graph_XCHART_3" hidden="1">#REF!</definedName>
    <definedName name="_81">[4]Лист1!$L$49</definedName>
    <definedName name="_81___________________123Graph_XCHART_4" hidden="1">#REF!</definedName>
    <definedName name="_81__123Graph_XЋЎ_а_з.__Єв._1" hidden="1">[17]MAIN!#REF!</definedName>
    <definedName name="_82">[4]Лист1!$M$49</definedName>
    <definedName name="_82__________________123Graph_ACHART_4" hidden="1">#REF!</definedName>
    <definedName name="_83">[4]Лист1!$N$49</definedName>
    <definedName name="_83__________________123Graph_XCHART_3" hidden="1">#REF!</definedName>
    <definedName name="_84">[4]Лист1!$O$49</definedName>
    <definedName name="_84__________________123Graph_XCHART_4" hidden="1">#REF!</definedName>
    <definedName name="_84__123Graph_XЋЎ_а_в­л__Є_ЇЁв" hidden="1">[17]MAIN!#REF!</definedName>
    <definedName name="_85">[4]Лист1!$Q$49</definedName>
    <definedName name="_85_________________123Graph_ACHART_4" hidden="1">#REF!</definedName>
    <definedName name="_86">[4]Лист1!$Y$88</definedName>
    <definedName name="_86_________________123Graph_XCHART_3" hidden="1">#REF!</definedName>
    <definedName name="_87">[4]Лист1!$Y$89</definedName>
    <definedName name="_87_________________123Graph_XCHART_4" hidden="1">#REF!</definedName>
    <definedName name="_88">[4]Лист1!$T$49</definedName>
    <definedName name="_88________________123Graph_ACHART_4" hidden="1">#REF!</definedName>
    <definedName name="_89">[4]ЗКР!$U$50</definedName>
    <definedName name="_89________________123Graph_XCHART_3" hidden="1">#REF!</definedName>
    <definedName name="_9">[4]Лист1!$Y$11</definedName>
    <definedName name="_9___________________________________________123Graph_XCHART_4" hidden="1">#REF!</definedName>
    <definedName name="_9_____________123Graph_ACHART_4" hidden="1">#REF!</definedName>
    <definedName name="_9__123Graph_XCHART_4" hidden="1">#REF!</definedName>
    <definedName name="_90">[4]ЗКР!#REF!</definedName>
    <definedName name="_90________________123Graph_XCHART_4" hidden="1">#REF!</definedName>
    <definedName name="_91">[4]Лист1!$V$49</definedName>
    <definedName name="_91_______________123Graph_ACHART_4" hidden="1">#REF!</definedName>
    <definedName name="_92">[4]Лист1!$W$49</definedName>
    <definedName name="_92_______________123Graph_XCHART_3" hidden="1">#REF!</definedName>
    <definedName name="_93">[4]Лист1!$AF$49</definedName>
    <definedName name="_93_______________123Graph_XCHART_4" hidden="1">#REF!</definedName>
    <definedName name="_94">[4]Лист1!$AG$49</definedName>
    <definedName name="_94______________123Graph_ACHART_4" hidden="1">#REF!</definedName>
    <definedName name="_95">[4]Лист1!$AH$49</definedName>
    <definedName name="_95______________123Graph_XCHART_3" hidden="1">#REF!</definedName>
    <definedName name="_96">[4]ЗКР!#REF!</definedName>
    <definedName name="_96______________123Graph_XCHART_4" hidden="1">#REF!</definedName>
    <definedName name="_97">[4]ЗКР!#REF!</definedName>
    <definedName name="_97_____________123Graph_ACHART_4" hidden="1">#REF!</definedName>
    <definedName name="_98">[4]ЗКР!#REF!</definedName>
    <definedName name="_98_____________123Graph_XCHART_3" hidden="1">#REF!</definedName>
    <definedName name="_99">[4]ЗКР!#REF!</definedName>
    <definedName name="_99_____________123Graph_XCHART_4" hidden="1">#REF!</definedName>
    <definedName name="_abc1" hidden="1">#REF!</definedName>
    <definedName name="_AS22006" hidden="1">"AS2DocumentBrowse"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cat_CPB">#REF!</definedName>
    <definedName name="_bcat_MNB">#REF!</definedName>
    <definedName name="_bcat_OFZ">#REF!</definedName>
    <definedName name="_bcat_OVGVZ">#REF!</definedName>
    <definedName name="_BKAT">#REF!</definedName>
    <definedName name="_btot_count">#REF!</definedName>
    <definedName name="_btot_CPB">#REF!</definedName>
    <definedName name="_btot_MNB">#REF!</definedName>
    <definedName name="_btot_OFZ">#REF!</definedName>
    <definedName name="_btot_OVGVZ">#REF!</definedName>
    <definedName name="_c" hidden="1">{"ÜBERSICHT",#N/A,FALSE,"ABW KUM";"Kostenzoom",#N/A,FALSE,"ABW KUM";"ÜBERSICHT",#N/A,FALSE,"ABW HORE";"Kostenzoom",#N/A,FALSE,"ABW HORE"}</definedName>
    <definedName name="_cat_A">#REF!</definedName>
    <definedName name="_cat_AA">#REF!</definedName>
    <definedName name="_cat_AAA">#REF!</definedName>
    <definedName name="_cat_B">#REF!</definedName>
    <definedName name="_cat_BB">#REF!</definedName>
    <definedName name="_cat_BBB">#REF!</definedName>
    <definedName name="_cat_C">#REF!</definedName>
    <definedName name="_cat_CC">#REF!</definedName>
    <definedName name="_cat_CCC">#REF!</definedName>
    <definedName name="_cat_D">#REF!</definedName>
    <definedName name="_CF2" hidden="1">{"Output%",#N/A,FALSE,"Output"}</definedName>
    <definedName name="_f444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_Fill" hidden="1">#REF!</definedName>
    <definedName name="_hkf8" hidden="1">{"glc1",#N/A,FALSE,"GLC";"glc2",#N/A,FALSE,"GLC";"glc3",#N/A,FALSE,"GLC";"glc4",#N/A,FALSE,"GLC";"glc5",#N/A,FALSE,"GLC"}</definedName>
    <definedName name="_j1">#REF!</definedName>
    <definedName name="_Key1" hidden="1">'[18]Natl Consult Reg.'!#REF!</definedName>
    <definedName name="_Key2" hidden="1">'[18]Natl Consult Reg.'!#REF!</definedName>
    <definedName name="_Order1" hidden="1">255</definedName>
    <definedName name="_Order2" hidden="1">255</definedName>
    <definedName name="_ot97" hidden="1">#REF!,#REF!,#REF!,#REF!,#REF!,#REF!,#REF!</definedName>
    <definedName name="_Parse_In" hidden="1">#REF!</definedName>
    <definedName name="_PR1">#REF!</definedName>
    <definedName name="_PR1204">#REF!</definedName>
    <definedName name="_PR2">#REF!</definedName>
    <definedName name="_PR3">#REF!</definedName>
    <definedName name="_PR4">#REF!</definedName>
    <definedName name="_PR5">#REF!</definedName>
    <definedName name="_RAC1" hidden="1">#REF!</definedName>
    <definedName name="_Regression_Int" hidden="1">1</definedName>
    <definedName name="_Regression_Out" hidden="1">#REF!</definedName>
    <definedName name="_Regression_X" hidden="1">#REF!</definedName>
    <definedName name="_Regression_Y" hidden="1">#REF!</definedName>
    <definedName name="_RI1">#REF!</definedName>
    <definedName name="_RR1">#REF!</definedName>
    <definedName name="_rwb2" hidden="1">{#N/A,#N/A,FALSE,"Aging Summary";#N/A,#N/A,FALSE,"Ratio Analysis";#N/A,#N/A,FALSE,"Test 120 Day Accts";#N/A,#N/A,FALSE,"Tickmarks"}</definedName>
    <definedName name="_rwn1" hidden="1">{#N/A,#N/A,FALSE,"Aging Summary";#N/A,#N/A,FALSE,"Ratio Analysis";#N/A,#N/A,FALSE,"Test 120 Day Accts";#N/A,#N/A,FALSE,"Tickmarks"}</definedName>
    <definedName name="_rwn10" hidden="1">{#N/A,#N/A,FALSE,"Aging Summary";#N/A,#N/A,FALSE,"Ratio Analysis";#N/A,#N/A,FALSE,"Test 120 Day Accts";#N/A,#N/A,FALSE,"Tickmarks"}</definedName>
    <definedName name="_rwn3" hidden="1">{"assets",#N/A,FALSE,"historicBS";"liab",#N/A,FALSE,"historicBS";"is",#N/A,FALSE,"historicIS";"ratios",#N/A,FALSE,"ratios"}</definedName>
    <definedName name="_rwn4" hidden="1">{"assets",#N/A,FALSE,"historicBS";"liab",#N/A,FALSE,"historicBS";"is",#N/A,FALSE,"historicIS";"ratios",#N/A,FALSE,"ratios"}</definedName>
    <definedName name="_rwn5" hidden="1">{"glcbs",#N/A,FALSE,"GLCBS";"glccsbs",#N/A,FALSE,"GLCCSBS";"glcis",#N/A,FALSE,"GLCIS";"glccsis",#N/A,FALSE,"GLCCSIS";"glcrat1",#N/A,FALSE,"GLC-ratios1"}</definedName>
    <definedName name="_rwn6" hidden="1">{"glc1",#N/A,FALSE,"GLC";"glc2",#N/A,FALSE,"GLC";"glc3",#N/A,FALSE,"GLC";"glc4",#N/A,FALSE,"GLC";"glc5",#N/A,FALSE,"GLC"}</definedName>
    <definedName name="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rwn8" hidden="1">{"glc1",#N/A,FALSE,"GLC";"glc2",#N/A,FALSE,"GLC";"glc3",#N/A,FALSE,"GLC";"glc4",#N/A,FALSE,"GLC";"glc5",#N/A,FALSE,"GLC"}</definedName>
    <definedName name="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SDU99">[5]ЗАО_н.ит!#REF!</definedName>
    <definedName name="_Sort" hidden="1">#REF!</definedName>
    <definedName name="_sort1" hidden="1">[19]опт!$A$8:$C$98</definedName>
    <definedName name="_sort5" hidden="1">[19]опт!$A$8:$C$98</definedName>
    <definedName name="_SQ1">[2]Исход.инф.!$B$7</definedName>
    <definedName name="_SQ2">[2]Исход.инф.!$B$8</definedName>
    <definedName name="_SQ3">[2]Исход.инф.!$B$9</definedName>
    <definedName name="_SQ4">[2]Исход.инф.!$B$10</definedName>
    <definedName name="_sum_Rate">[20]SUMMARY_DATA!$B$2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Out" hidden="1">#REF!</definedName>
    <definedName name="_Table3_In2" hidden="1">#REF!</definedName>
    <definedName name="_tot_A">#REF!</definedName>
    <definedName name="_tot_AA">#REF!</definedName>
    <definedName name="_tot_AAA">#REF!</definedName>
    <definedName name="_tot_B">#REF!</definedName>
    <definedName name="_tot_BB">#REF!</definedName>
    <definedName name="_tot_BBB">#REF!</definedName>
    <definedName name="_tot_C">#REF!</definedName>
    <definedName name="_tot_CC">#REF!</definedName>
    <definedName name="_tot_CCC">#REF!</definedName>
    <definedName name="_tot_Count">#REF!</definedName>
    <definedName name="_tot_D">#REF!</definedName>
    <definedName name="_USD99">[5]ЗАО_н.ит!#REF!</definedName>
    <definedName name="_uu1" hidden="1">{#N/A,#N/A,TRUE,"Engineering Dept";#N/A,#N/A,TRUE,"Sales Dept";#N/A,#N/A,TRUE,"Marketing Dept";#N/A,#N/A,TRUE,"Admin Dept"}</definedName>
    <definedName name="_W10">#REF!</definedName>
    <definedName name="_w149">#REF!</definedName>
    <definedName name="_wrn1" hidden="1">{"glc1",#N/A,FALSE,"GLC";"glc2",#N/A,FALSE,"GLC";"glc3",#N/A,FALSE,"GLC";"glc4",#N/A,FALSE,"GLC";"glc5",#N/A,FALSE,"GLC"}</definedName>
    <definedName name="_wrn2" hidden="1">{"glc1",#N/A,FALSE,"GLC";"glc2",#N/A,FALSE,"GLC";"glc3",#N/A,FALSE,"GLC";"glc4",#N/A,FALSE,"GLC";"glc5",#N/A,FALSE,"GLC"}</definedName>
    <definedName name="_wrn222" hidden="1">{"glc1",#N/A,FALSE,"GLC";"glc2",#N/A,FALSE,"GLC";"glc3",#N/A,FALSE,"GLC";"glc4",#N/A,FALSE,"GLC";"glc5",#N/A,FALSE,"GLC"}</definedName>
    <definedName name="_авав">[4]Лист1!$E$44</definedName>
    <definedName name="_д">[5]ЗАО_н.ит!#REF!</definedName>
    <definedName name="_картмя">#REF!</definedName>
    <definedName name="_крнер">#REF!</definedName>
    <definedName name="_xlnm._FilterDatabase" hidden="1">#REF!</definedName>
    <definedName name="a" hidden="1">{#N/A,#N/A,FALSE,"Aging Summary";#N/A,#N/A,FALSE,"Ratio Analysis";#N/A,#N/A,FALSE,"Test 120 Day Accts";#N/A,#N/A,FALSE,"Tickmarks"}</definedName>
    <definedName name="A_44">#REF!</definedName>
    <definedName name="aa" hidden="1">{#N/A,#N/A,FALSE,"Aging Summary";#N/A,#N/A,FALSE,"Ratio Analysis";#N/A,#N/A,FALSE,"Test 120 Day Accts";#N/A,#N/A,FALSE,"Tickmarks"}</definedName>
    <definedName name="aaa" hidden="1">{#N/A,#N/A,FALSE,"Aging Summary";#N/A,#N/A,FALSE,"Ratio Analysis";#N/A,#N/A,FALSE,"Test 120 Day Accts";#N/A,#N/A,FALSE,"Tickmarks"}</definedName>
    <definedName name="AAA_DOCTOPS" hidden="1">"AAA_SET"</definedName>
    <definedName name="AAA_duser" hidden="1">"OFF"</definedName>
    <definedName name="aaa0" hidden="1">{#N/A,#N/A,FALSE,"Aging Summary";#N/A,#N/A,FALSE,"Ratio Analysis";#N/A,#N/A,FALSE,"Test 120 Day Accts";#N/A,#N/A,FALSE,"Tickmarks"}</definedName>
    <definedName name="aaaa" hidden="1">{"ÜBER mit FW","THU",FALSE,"HORE KORR!";"ÜBERSICHT",#N/A,FALSE,"BUDGET 1997_98";"ÜBER mit FW",#N/A,FALSE,"IST KUM KORR!!";"ÜBERSICHT",#N/A,FALSE,"PLAN KUM"}</definedName>
    <definedName name="aaaa1" hidden="1">{#VALUE!,#N/A,TRUE,0}</definedName>
    <definedName name="aaaa2" hidden="1">{#N/A,#N/A,TRUE,"Буржуям"}</definedName>
    <definedName name="aaaaa" hidden="1">{"DRUCK",#N/A,FALSE,"HOCHRECHNUNG KORR!!!!";"DRUCK",#N/A,FALSE,"BUDGET 1997_98";"DRUCK",#N/A,FALSE,"PL KUM";"DRUCK",#N/A,FALSE,"VJ KUM";"DRUCK",#N/A,FALSE,"IST KUM KORR!!!"}</definedName>
    <definedName name="aaaaaaa" hidden="1">{"ÜBER mit FW","THU",FALSE,"HORE KORR!";"ÜBERSICHT",#N/A,FALSE,"BUDGET 1997_98";"ÜBER mit FW",#N/A,FALSE,"IST KUM KORR!!";"ÜBERSICHT",#N/A,FALSE,"PLAN KUM"}</definedName>
    <definedName name="aaaaaaaa" hidden="1">#REF!</definedName>
    <definedName name="aaaaaaaaa" hidden="1">#REF!</definedName>
    <definedName name="aaaaaaaaaaa" hidden="1">#REF!</definedName>
    <definedName name="aaaaaaaaaaa2" hidden="1">#REF!</definedName>
    <definedName name="aaaaaaaaaaaaa" hidden="1">#REF!</definedName>
    <definedName name="AAB_Addin5" hidden="1">"AAB_Description for addin 5,Description for addin 5,Description for addin 5,Description for addin 5,Description for addin 5,Description for addin 5"</definedName>
    <definedName name="abc" hidden="1">{#N/A,#N/A,FALSE,"Aging Summary";#N/A,#N/A,FALSE,"Ratio Analysis";#N/A,#N/A,FALSE,"Test 120 Day Accts";#N/A,#N/A,FALSE,"Tickmarks"}</definedName>
    <definedName name="AccessDatabase" hidden="1">"C:\Мои документы\Базовая сводная обязательств1.mdb"</definedName>
    <definedName name="AccessDatabase_1" hidden="1">"C:\Мои документы\financial.mdb"</definedName>
    <definedName name="Account_from">#REF!</definedName>
    <definedName name="Account_To">#REF!</definedName>
    <definedName name="ACCOUNTANT_FIO">#REF!</definedName>
    <definedName name="ACCR">#REF!,#REF!,#REF!,#REF!,#REF!,#REF!,#REF!,#REF!,#REF!,#REF!,#REF!,#REF!,#REF!,#REF!,#REF!,#REF!</definedName>
    <definedName name="ADD._LZ_7819A_им_">#REF!</definedName>
    <definedName name="ADDRESS">#REF!</definedName>
    <definedName name="Admin_exp">[21]Sensitivity!$S$17</definedName>
    <definedName name="adssa">#REF!</definedName>
    <definedName name="Aircool">[4]Лист1!#REF!</definedName>
    <definedName name="ajajajj" hidden="1">{"glc1",#N/A,FALSE,"GLC";"glc2",#N/A,FALSE,"GLC";"glc3",#N/A,FALSE,"GLC";"glc4",#N/A,FALSE,"GLC";"glc5",#N/A,FALSE,"GLC"}</definedName>
    <definedName name="ANAL_SHARE_1">#REF!</definedName>
    <definedName name="ANAL_SHARE_2">#REF!</definedName>
    <definedName name="ANALYSIS_DNCF">#REF!</definedName>
    <definedName name="ANALYSIS_NCF">#REF!</definedName>
    <definedName name="anscount" hidden="1">1</definedName>
    <definedName name="antonio" hidden="1">{#N/A,"70% Success",FALSE,"Sales Forecast";#N/A,#N/A,FALSE,"Sheet2"}</definedName>
    <definedName name="aqer" hidden="1">{"'Sheet1'!$A$1:$G$85"}</definedName>
    <definedName name="ARE">[22]Баланс95!#REF!</definedName>
    <definedName name="art" hidden="1">{"COM",#N/A,FALSE,"800 10th"}</definedName>
    <definedName name="as" hidden="1">{"ÜBERSICHT",#N/A,FALSE,"ABW KUM";"Kostenzoom",#N/A,FALSE,"ABW KUM";"ÜBERSICHT",#N/A,FALSE,"ABW HORE";"Kostenzoom",#N/A,FALSE,"ABW HORE"}</definedName>
    <definedName name="AS2DocOpenMode" hidden="1">"AS2DocumentEdit"</definedName>
    <definedName name="AS2HasNoAutoHeaderFooter" hidden="1">" "</definedName>
    <definedName name="AS2NamedRange" hidden="1">18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sd" hidden="1">#REF!</definedName>
    <definedName name="asdfas" hidden="1">{"Table A,pg 1",#N/A,FALSE,"Table A-Prov GUR";"Table A,pg 2",#N/A,FALSE,"Table A-Prov GUR"}</definedName>
    <definedName name="asdfr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asfd" hidden="1">{"ÜBER mit FW","THU",FALSE,"HORE KORR!";"ÜBERSICHT",#N/A,FALSE,"BUDGET 1997_98";"ÜBER mit FW",#N/A,FALSE,"IST KUM KORR!!";"ÜBERSICHT",#N/A,FALSE,"PLAN KUM"}</definedName>
    <definedName name="asfsf">#REF!</definedName>
    <definedName name="ass" hidden="1">{"ÜBERSICHT",#N/A,FALSE,"ABW KUM";"Kostenzoom",#N/A,FALSE,"ABW KUM";"ÜBERSICHT",#N/A,FALSE,"ABW HORE";"Kostenzoom",#N/A,FALSE,"ABW HORE"}</definedName>
    <definedName name="ASS_COUNT_1">[23]Расчеты!$B$15</definedName>
    <definedName name="ASS_COUNT_2">[23]Расчеты!$B$16</definedName>
    <definedName name="ASS_COUNT_3">[23]Расчеты!$B$17</definedName>
    <definedName name="ASS_COUNT_4">[23]Расчеты!$B$18</definedName>
    <definedName name="ASS_COUNT_5">[23]Расчеты!$B$19</definedName>
    <definedName name="ASSETS_TAX">#REF!</definedName>
    <definedName name="astra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astravit" hidden="1">#REF!</definedName>
    <definedName name="astravit2" hidden="1">#REF!</definedName>
    <definedName name="atrat" hidden="1">{"'Prices'!$A$4:$J$27"}</definedName>
    <definedName name="AVR" hidden="1">{"'Grafik Kontrol'!$A$1:$J$8"}</definedName>
    <definedName name="awas" hidden="1">{"ÜBER mit FW","THU",FALSE,"HORE KORR!";"ÜBERSICHT",#N/A,FALSE,"BUDGET 1997_98";"ÜBER mit FW",#N/A,FALSE,"IST KUM KORR!!";"ÜBERSICHT",#N/A,FALSE,"PLAN KUM"}</definedName>
    <definedName name="b" hidden="1">{#N/A,#N/A,FALSE,"Aging Summary";#N/A,#N/A,FALSE,"Ratio Analysis";#N/A,#N/A,FALSE,"Test 120 Day Accts";#N/A,#N/A,FALSE,"Tickmarks"}</definedName>
    <definedName name="b.ym10" hidden="1">{#N/A,#N/A,TRUE,"Буржуям"}</definedName>
    <definedName name="BadLink" hidden="1">#REF!</definedName>
    <definedName name="BankPart">#REF!</definedName>
    <definedName name="Banks">[24]Library!$A$2:$A$224</definedName>
    <definedName name="Basa_cena">#REF!</definedName>
    <definedName name="BasePriceFall">#REF!</definedName>
    <definedName name="Baza_cena">#REF!</definedName>
    <definedName name="bb" hidden="1">{#N/A,#N/A,FALSE,"Aging Summary";#N/A,#N/A,FALSE,"Ratio Analysis";#N/A,#N/A,FALSE,"Test 120 Day Accts";#N/A,#N/A,FALSE,"Tickmarks"}</definedName>
    <definedName name="bb480_1__2__">'[25]Лист 2,0201,1010,0'!#REF!</definedName>
    <definedName name="bbb" hidden="1">{#N/A,#N/A,FALSE,"Aging Summary";#N/A,#N/A,FALSE,"Ratio Analysis";#N/A,#N/A,FALSE,"Test 120 Day Accts";#N/A,#N/A,FALSE,"Tickmarks"}</definedName>
    <definedName name="beginyear">'[26]05-09 января 2004'!$H$10</definedName>
    <definedName name="BEx0017DGUEDPCFJUPUZOOLJCS2B" hidden="1">#REF!</definedName>
    <definedName name="BEx001CNWHJ5RULCSFM36ZCGJ1UH" hidden="1">#REF!</definedName>
    <definedName name="BEx004791UAJIJSN57OT7YBLNP82" hidden="1">#REF!</definedName>
    <definedName name="BEx008P2NVFDLBHL7IZ5WTMVOQ1F" hidden="1">#REF!</definedName>
    <definedName name="BEx009G00IN0JUIAQ4WE9NHTMQE2" hidden="1">#REF!</definedName>
    <definedName name="BEx00DXTY2JDVGWQKV8H7FG4SV30" hidden="1">#REF!</definedName>
    <definedName name="BEx00GHLTYRH5N2S6P78YW1CD30N" hidden="1">#REF!</definedName>
    <definedName name="BEx00JC31DY11L45SEU4B10BIN6W" hidden="1">#REF!</definedName>
    <definedName name="BEx00KZHZBHP3TDV1YMX4B19B95O" hidden="1">#REF!</definedName>
    <definedName name="BEx00MBY8XXUOHIZ4LHXHPD7WYD5" hidden="1">#REF!</definedName>
    <definedName name="BEx019ER9PNWI2O7JRP2I5Y45GUP" hidden="1">#REF!</definedName>
    <definedName name="BEx01HY6E3GJ66ABU5ABN26V6Q13" hidden="1">#REF!</definedName>
    <definedName name="BEx01PW5YQKEGAR8JDDI5OARYXDF" hidden="1">#REF!</definedName>
    <definedName name="BEx01XJ94SHJ1YQ7ORPW0RQGKI2H" hidden="1">#REF!</definedName>
    <definedName name="BEx02Q08R9G839Q4RFGG9026C7PX" hidden="1">#REF!</definedName>
    <definedName name="BEx02SEL3Z1QWGAHXDPUA9WLTTPS" hidden="1">#REF!</definedName>
    <definedName name="BEx02Y3KJZH5BGDM9QEZ1PVVI114" hidden="1">#REF!</definedName>
    <definedName name="BEx0313GRLLASDTVPW5DHTXHE74M" hidden="1">#REF!</definedName>
    <definedName name="BEx03AOQ2SJJIMI17YOJ56HDD2UN" hidden="1">#REF!</definedName>
    <definedName name="BEx1EQ08E2P2D4OTR04HLWGLD22C" hidden="1">#REF!</definedName>
    <definedName name="BEx1F0SOZ3H5XUHXD7O01TCR8T6J" hidden="1">#REF!</definedName>
    <definedName name="BEx1F9HL824UCNCVZ2U62J4KZCX8" hidden="1">#REF!</definedName>
    <definedName name="BEx1FEVSJKTI1Q1Z874QZVFSJSVA" hidden="1">#REF!</definedName>
    <definedName name="BEx1FGDRUHHLI1GBHELT4PK0LY4V" hidden="1">#REF!</definedName>
    <definedName name="BEx1FJZ7GKO99IYTP6GGGF7EUL3Z" hidden="1">#REF!</definedName>
    <definedName name="BEx1FZV2CM77TBH1R6YYV9P06KA2" hidden="1">#REF!</definedName>
    <definedName name="BEx1G59AY8195JTUM6P18VXUFJ3E" hidden="1">#REF!</definedName>
    <definedName name="BEx1GVMRHFXUP6XYYY9NR12PV5TF" hidden="1">#REF!</definedName>
    <definedName name="BEx1H6KIT7BHUH6MDDWC935V9N47" hidden="1">#REF!</definedName>
    <definedName name="BEx1HDGOOJ3SKHYMWUZJ1P0RQZ9N" hidden="1">#REF!</definedName>
    <definedName name="BEx1HDM5ZXSJG6JQEMSFV52PZ10V" hidden="1">#REF!</definedName>
    <definedName name="BEx1HETBBZVN5F43LKOFMC4QB0CR" hidden="1">#REF!</definedName>
    <definedName name="BEx1HGWNWPLNXICOTP90TKQVVE4E" hidden="1">#REF!</definedName>
    <definedName name="BEx1HIPLJZABY0EMUOTZN0EQMDPU" hidden="1">#REF!</definedName>
    <definedName name="BEx1HO94JIRX219MPWMB5E5XZ04X" hidden="1">#REF!</definedName>
    <definedName name="BEx1HQNF6KHM21E3XLW0NMSSEI9S" hidden="1">#REF!</definedName>
    <definedName name="BEx1HRZWRZISLXC6I4J7HQ24HBLF" hidden="1">#REF!</definedName>
    <definedName name="BEx1HSLNWIW4S97ZBYY7I7M5YVH4" hidden="1">#REF!</definedName>
    <definedName name="BEx1I38M6XKQCNMJM5X29X6LLYQK" hidden="1">#REF!</definedName>
    <definedName name="BEx1I4QKTILCKZUSOJCVZN7SNHL5" hidden="1">#REF!</definedName>
    <definedName name="BEx1I5XOJYPI6FXXN0XB6U1DT8AL" hidden="1">#REF!</definedName>
    <definedName name="BEx1IE0ZP7RIFM9FI24S9I6AAJ14" hidden="1">#REF!</definedName>
    <definedName name="BEx1IF87CP84RSGX7ZMUPKNN7G5Y" hidden="1">#REF!</definedName>
    <definedName name="BEx1IGQ5B697MNDOE06MVSR0H58E" hidden="1">#REF!</definedName>
    <definedName name="BEx1IKRPW8MLB9Y485M1TL2IT9SH" hidden="1">#REF!</definedName>
    <definedName name="BEx1J0CSSHDJGBJUHVOEMCF2P4DL" hidden="1">#REF!</definedName>
    <definedName name="BEx1J61RRF9LJ3V3R5OY3WJ6VBWR" hidden="1">#REF!</definedName>
    <definedName name="BEx1J7E8VCGLPYU82QXVUG5N3ZAI" hidden="1">#REF!</definedName>
    <definedName name="BEx1JGE2YQWH8S25USOY08XVGO0D" hidden="1">#REF!</definedName>
    <definedName name="BEx1JJJC9T1W7HY4V7HP1S1W4JO1" hidden="1">#REF!</definedName>
    <definedName name="BEx1JKKZSJ7DI4PTFVI9VVFMB1X2" hidden="1">#REF!</definedName>
    <definedName name="BEx1JUBQFRVMASSFK4B3V0AD7YP9" hidden="1">#REF!</definedName>
    <definedName name="BEx1JXBM5W4YRWNQ0P95QQS6JWD6" hidden="1">#REF!</definedName>
    <definedName name="BEx1K6WWF0F2A7DGND0UIFX6AQWR" hidden="1">#REF!</definedName>
    <definedName name="BEx1KF01VDWAXFO8ZC73DECQP20I" hidden="1">#REF!</definedName>
    <definedName name="BEx1KGY9QEHZ9QSARMQUTQKRK4UX" hidden="1">#REF!</definedName>
    <definedName name="BEx1KKP1ELIF2UII2FWVGL7M1X7J" hidden="1">#REF!</definedName>
    <definedName name="BEx1KUVWMB0QCWA3RBE4CADFVRIS" hidden="1">#REF!</definedName>
    <definedName name="BEx1L2OG1SDFK2TPXELJ77YP4NI2" hidden="1">#REF!</definedName>
    <definedName name="BEx1L6Q60MWRDJB4L20LK0XPA0Z2" hidden="1">#REF!</definedName>
    <definedName name="BEx1LD63FP2Z4BR9TKSHOZW9KKZ5" hidden="1">#REF!</definedName>
    <definedName name="BEx1LD63H6V2FIGARI22M5IIFXE4" hidden="1">#REF!</definedName>
    <definedName name="BEx1LDMB9RW982DUILM2WPT5VWQ3" hidden="1">#REF!</definedName>
    <definedName name="BEx1LRPGDQCOEMW8YT80J1XCDCIV" hidden="1">#REF!</definedName>
    <definedName name="BEx1LRUSJW4JG54X07QWD9R27WV9" hidden="1">#REF!</definedName>
    <definedName name="BEx1M1WBK5T0LP1AK2JYV6W87ID6" hidden="1">#REF!</definedName>
    <definedName name="BEx1M51HHDYGIT8PON7U8ICL2S95" hidden="1">#REF!</definedName>
    <definedName name="BEx1MTRKKVCHOZ0YGID6HZ49LJTO" hidden="1">#REF!</definedName>
    <definedName name="BEx1N3CUJ3UX61X38ZAJVPEN4KMC" hidden="1">#REF!</definedName>
    <definedName name="BEx1NM34KQTO1LDNSAFD1L82UZFG" hidden="1">#REF!</definedName>
    <definedName name="BEx1NO6TXZVOGCUWCCRTXRXWW0XL" hidden="1">#REF!</definedName>
    <definedName name="BEx1NS8EU5P9FQV3S0WRTXI5L361" hidden="1">#REF!</definedName>
    <definedName name="BEx1NUBX5VUYZFKQH69FN6BTLWCR" hidden="1">#REF!</definedName>
    <definedName name="BEx1NZ4K1L8UON80Y2A4RASKWGNP" hidden="1">#REF!</definedName>
    <definedName name="BEx1OLAZ915OGYWP0QP1QQWDLCRX" hidden="1">#REF!</definedName>
    <definedName name="BEx1OO5ER042IS6IC4TLDI75JNVH" hidden="1">#REF!</definedName>
    <definedName name="BEx1OTE54CBSUT8FWKRALEDCUWN4" hidden="1">#REF!</definedName>
    <definedName name="BEx1OVSMPADTX95QUOX34KZQ8EDY" hidden="1">#REF!</definedName>
    <definedName name="BEx1OX544IO9FQJI7YYQGZCEHB3O" hidden="1">#REF!</definedName>
    <definedName name="BEx1OY6SVEUT2EQ26P7EKEND342G" hidden="1">#REF!</definedName>
    <definedName name="BEx1OYN1LPIPI12O9G6F7QAOS9T4" hidden="1">#REF!</definedName>
    <definedName name="BEx1P1HHKJA799O3YZXQAX6KFH58" hidden="1">#REF!</definedName>
    <definedName name="BEx1P34W467WGPOXPK292QFJIPHJ" hidden="1">#REF!</definedName>
    <definedName name="BEx1P7S1J4TKGVJ43C2Q2R3M9WRB" hidden="1">#REF!</definedName>
    <definedName name="BEx1P8J42Y43N094L5CX4DK6SXVU" hidden="1">#REF!</definedName>
    <definedName name="BEx1PA11BLPVZM8RC5BL46WX8YB5" hidden="1">#REF!</definedName>
    <definedName name="BEx1PBZ4BEFIPGMQXT9T8S4PZ2IM" hidden="1">#REF!</definedName>
    <definedName name="BEx1PLF2CFSXBZPVI6CJ534EIJDN" hidden="1">#REF!</definedName>
    <definedName name="BEx1PMWZB2DO6EM9BKLUICZJ65HD" hidden="1">#REF!</definedName>
    <definedName name="BEx1PW7GXZCR4WKH5QXPNH9FZ3PC" hidden="1">#REF!</definedName>
    <definedName name="BEx1QA54J2A4I7IBQR19BTY28ZMR" hidden="1">#REF!</definedName>
    <definedName name="BEx1QMQAHG3KQUK59DVM68SWKZIZ" hidden="1">#REF!</definedName>
    <definedName name="BEx1QOJ0RO1ZWYF0PORGVXG52IV1" hidden="1">#REF!</definedName>
    <definedName name="BEx1R9YFKJCMSEST8OVCAO5E47FO" hidden="1">#REF!</definedName>
    <definedName name="BEx1RBGC06B3T52OIC0EQ1KGVP1I" hidden="1">#REF!</definedName>
    <definedName name="BEx1RRC7X4NI1CU4EO5XYE2GVARJ" hidden="1">#REF!</definedName>
    <definedName name="BEx1RZA1NCGT832L7EMR7GMF588W" hidden="1">#REF!</definedName>
    <definedName name="BEx1S0XGIPUSZQUCSGWSK10GKW7Y" hidden="1">#REF!</definedName>
    <definedName name="BEx1S5VFNKIXHTTCWSV60UC50EZ8" hidden="1">#REF!</definedName>
    <definedName name="BEx1SK3U02H0RGKEYXW7ZMCEOF3V" hidden="1">#REF!</definedName>
    <definedName name="BEx1SSNEZINBJT29QVS62VS1THT4" hidden="1">#REF!</definedName>
    <definedName name="BEx1SVNCHNANBJIDIQVB8AFK4HAN" hidden="1">#REF!</definedName>
    <definedName name="BEx1TJ0WLS9O7KNSGIPWTYHDYI1D" hidden="1">#REF!</definedName>
    <definedName name="BEx1U15M7LVVFZENH830B2BGWC04" hidden="1">#REF!</definedName>
    <definedName name="BEx1U7WFO8OZKB1EBF4H386JW91L" hidden="1">#REF!</definedName>
    <definedName name="BEx1U87938YR9N6HYI24KVBKLOS3" hidden="1">#REF!</definedName>
    <definedName name="BEx1UESH4KDWHYESQU2IE55RS3LI" hidden="1">#REF!</definedName>
    <definedName name="BEx1UI8N9KTCPSOJ7RDW0T8UEBNP" hidden="1">#REF!</definedName>
    <definedName name="BEx1UML0HHJFHA5TBOYQ24I3RV1W" hidden="1">#REF!</definedName>
    <definedName name="BEx1UUDIQPZ23XQ79GUL0RAWRSCK" hidden="1">#REF!</definedName>
    <definedName name="BEx1V67SEV778NVW68J8W5SND1J7" hidden="1">#REF!</definedName>
    <definedName name="BEx1VIY9SQLRESD11CC4PHYT0XSG" hidden="1">#REF!</definedName>
    <definedName name="BEx1VUC97YQ0VL09BOM2XF5Z6GN1" hidden="1">#REF!</definedName>
    <definedName name="BEx1WA83O04NKC1TS89CH5UD9WA9" hidden="1">#REF!</definedName>
    <definedName name="BEx1WC67EH10SC38QWX3WEA5KH3A" hidden="1">#REF!</definedName>
    <definedName name="BEx1WGYTKZZIPM1577W5FEYKFH3V" hidden="1">#REF!</definedName>
    <definedName name="BEx1WHPURIV3D3PTJJ359H1OP7ZV" hidden="1">#REF!</definedName>
    <definedName name="BEx1WLWY2CR1WRD694JJSWSDFAIR" hidden="1">#REF!</definedName>
    <definedName name="BEx1WMD1LWPWRIK6GGAJRJAHJM8I" hidden="1">#REF!</definedName>
    <definedName name="BEx1WR0D41MR174LBF3P9E3K0J51" hidden="1">#REF!</definedName>
    <definedName name="BEx1WUB1FAS5PHU33TJ60SUHR618" hidden="1">#REF!</definedName>
    <definedName name="BEx1WX04G0INSPPG9NTNR3DYR6PZ" hidden="1">#REF!</definedName>
    <definedName name="BEx1X3LHU9DPG01VWX2IF65TRATF" hidden="1">#REF!</definedName>
    <definedName name="BEx1XK8AAMO0AH0Z1OUKW30CA7EQ" hidden="1">#REF!</definedName>
    <definedName name="BEx1XL4MZ7C80495GHQRWOBS16PQ" hidden="1">#REF!</definedName>
    <definedName name="BEx1Y27O0QWH9ZUVENKVH0YWDTTH" hidden="1">#REF!</definedName>
    <definedName name="BEx1Y2IGS2K95E1M51PEF9KJZ0KB" hidden="1">#REF!</definedName>
    <definedName name="BEx1Y3PKK83X2FN9SAALFHOWKMRQ" hidden="1">#REF!</definedName>
    <definedName name="BEx1YL3DJ7Y4AZ01ERCOGW0FJ26T" hidden="1">#REF!</definedName>
    <definedName name="BEx1Z2RYHSVD1H37817SN93VMURZ" hidden="1">#REF!</definedName>
    <definedName name="BEx3AMAKWI6458B67VKZO56MCNJW" hidden="1">#REF!</definedName>
    <definedName name="BEx3AOOVM42G82TNF53W0EKXLUSI" hidden="1">#REF!</definedName>
    <definedName name="BEx3AZH9W4SUFCAHNDOQ728R9V4L" hidden="1">#REF!</definedName>
    <definedName name="BEx3BDEYF52GJSSGJ3R42P3U78EE" hidden="1">#REF!</definedName>
    <definedName name="BEx3BNR9ES4KY7Q1DK83KC5NDGL8" hidden="1">#REF!</definedName>
    <definedName name="BEx3BQR5VZXNQ4H949ORM8ESU3B3" hidden="1">#REF!</definedName>
    <definedName name="BEx3BTLL3ASJN134DLEQTQM70VZM" hidden="1">#REF!</definedName>
    <definedName name="BEx3BW5CTV0DJU5AQS3ZQFK2VLF3" hidden="1">#REF!</definedName>
    <definedName name="BEx3BYP0FG369M7G3JEFLMMXAKTS" hidden="1">#REF!</definedName>
    <definedName name="BEx3C2QR0WUD19QSVO8EMIPNQJKH" hidden="1">#REF!</definedName>
    <definedName name="BEx3C8FRE7IUNW2KNJWI42MWHS50" hidden="1">#REF!</definedName>
    <definedName name="BEx3CCS3VNR1KW2R7DKSQFZ17QW0" hidden="1">#REF!</definedName>
    <definedName name="BEx3CKFCCPZZ6ROLAT5C1DZNIC1U" hidden="1">#REF!</definedName>
    <definedName name="BEx3CM2L6UA9RVVNA9QPKKSQ69NF" hidden="1">#REF!</definedName>
    <definedName name="BEx3CO0SVO4WLH0DO43DCHYDTH1P" hidden="1">#REF!</definedName>
    <definedName name="BEx3D9G6QTSPF9UYI4X0XY0VE896" hidden="1">#REF!</definedName>
    <definedName name="BEx3DBZZP4NAS9H8XUX2YJW77LQW" hidden="1">#REF!</definedName>
    <definedName name="BEx3DCQU9PBRXIMLO62KS5RLH447" hidden="1">#REF!</definedName>
    <definedName name="BEx3DUKS7GNYDP8X30TVIUX95DFO" hidden="1">#REF!</definedName>
    <definedName name="BEx3EBYLJ9E2OK057WJMGYIOLF66" hidden="1">#REF!</definedName>
    <definedName name="BEx3EF99FD6QNNCNOKDEE67JHTUJ" hidden="1">#REF!</definedName>
    <definedName name="BEx3EHCSERZ2O2OAG8Y95UPG2IY9" hidden="1">#REF!</definedName>
    <definedName name="BEx3EJR3TCJDYS7ZXNDS5N9KTGIK" hidden="1">#REF!</definedName>
    <definedName name="BEx3ELJTTBS6P05CNISMGOJOA60V" hidden="1">#REF!</definedName>
    <definedName name="BEx3EQSLJBDDJRHNX19PBFCKNY2I" hidden="1">#REF!</definedName>
    <definedName name="BEx3EUUAX947Q5N6MY6W0KSNY78Y" hidden="1">#REF!</definedName>
    <definedName name="BEx3FDQ15RB6AQRVBDKL77OF47WP" hidden="1">#REF!</definedName>
    <definedName name="BEx3FHMD1P5XBCH23ZKIFO6ZTCNB" hidden="1">#REF!</definedName>
    <definedName name="BEx3FI2G3YYIACQHXNXEA15M8ZK5" hidden="1">#REF!</definedName>
    <definedName name="BEx3FJ9MHSLDK8W91GO85FX1GX57" hidden="1">#REF!</definedName>
    <definedName name="BEx3FR251HFU7A33PU01SJUENL2B" hidden="1">#REF!</definedName>
    <definedName name="BEx3FX7EJL47JSLSWP3EOC265WAE" hidden="1">#REF!</definedName>
    <definedName name="BEx3G201R8NLJ6FIHO2QS0SW9QVV" hidden="1">#REF!</definedName>
    <definedName name="BEx3G2LL2II66XY5YCDPG4JE13A3" hidden="1">#REF!</definedName>
    <definedName name="BEx3G2WA0DTYY9D8AGHHOBTPE2B2" hidden="1">#REF!</definedName>
    <definedName name="BEx3GCXR6IAS0B6WJ03GJVH7CO52" hidden="1">#REF!</definedName>
    <definedName name="BEx3GEVV18SEQDI1JGY7EN6D1GT1" hidden="1">#REF!</definedName>
    <definedName name="BEx3GKFH64MKQX61S7DYTZ15JCPY" hidden="1">#REF!</definedName>
    <definedName name="BEx3GMJ1Y6UU02DLRL0QXCEKDA6C" hidden="1">#REF!</definedName>
    <definedName name="BEx3GN4LY0135CBDIN1TU2UEODGF" hidden="1">#REF!</definedName>
    <definedName name="BEx3GP85PKRQAHS53K4PCCVYGV8F" hidden="1">#REF!</definedName>
    <definedName name="BEx3GPDH2AH4QKT4OOSN563XUHBD" hidden="1">#REF!</definedName>
    <definedName name="BEx3H5UX2GZFZZT657YR76RHW5I6" hidden="1">#REF!</definedName>
    <definedName name="BEx3HMSEFOP6DBM4R97XA6B7NFG6" hidden="1">#REF!</definedName>
    <definedName name="BEx3HUVREVA7CT2C7DBQEISEC4KC" hidden="1">#REF!</definedName>
    <definedName name="BEx3HWJ5SQSD2CVCQNR183X44FR8" hidden="1">#REF!</definedName>
    <definedName name="BEx3I09YVXO0G4X7KGSA4WGORM35" hidden="1">#REF!</definedName>
    <definedName name="BEx3ICF1GY8HQEBIU9S43PDJ90BX" hidden="1">#REF!</definedName>
    <definedName name="BEx3IGWW0HBZCMFZA1150T8H0ISN" hidden="1">#REF!</definedName>
    <definedName name="BEx3IYAH2DEBFWO8F94H4MXE3RLY" hidden="1">#REF!</definedName>
    <definedName name="BEx3IZXXSYEW50379N2EAFWO8DZV" hidden="1">#REF!</definedName>
    <definedName name="BEx3J1VZVGTKT4ATPO9O5JCSFTTR" hidden="1">#REF!</definedName>
    <definedName name="BEx3JC2TY7JNAAC3L7QHVPQXLGQ8" hidden="1">#REF!</definedName>
    <definedName name="BEx3JKBNOJ3U8R9C3X2UDPVSC8YA" hidden="1">#REF!</definedName>
    <definedName name="BEx3JUNSMX2BFPL87JP4FOO0VFHW" hidden="1">#REF!</definedName>
    <definedName name="BEx3JX23SYDIGOGM4Y0CQFBW8ZBV" hidden="1">#REF!</definedName>
    <definedName name="BEx3JXCXCVBZJGV5VEG9MJEI01AL" hidden="1">#REF!</definedName>
    <definedName name="BEx3JYK2N7X59TPJSKYZ77ENY8SS" hidden="1">#REF!</definedName>
    <definedName name="BEx3K4EII7GU1CG0BN7UL15M6J8Z" hidden="1">#REF!</definedName>
    <definedName name="BEx3K4ZXQUQ2KYZF74B84SO48XMW" hidden="1">#REF!</definedName>
    <definedName name="BEx3KDJJ6AXT6HF8ZI7MK18VMX4Z" hidden="1">#REF!</definedName>
    <definedName name="BEx3KEFXUCVNVPH7KSEGAZYX13B5" hidden="1">#REF!</definedName>
    <definedName name="BEx3KFXUAF6YXAA47B7Q6X9B3VGB" hidden="1">#REF!</definedName>
    <definedName name="BEx3KIXQYOGMPK4WJJAVBRX4NR28" hidden="1">#REF!</definedName>
    <definedName name="BEx3KJOMVOSFZVJUL3GKCNP6DQDS" hidden="1">#REF!</definedName>
    <definedName name="BEx3KP2VRBMORK0QEAZUYCXL3DHJ" hidden="1">#REF!</definedName>
    <definedName name="BEx3L4IN3LI4C26SITKTGAH27CDU" hidden="1">#REF!</definedName>
    <definedName name="BEx3L4YQ0J7ZU0M5QM6YIPCEYC9K" hidden="1">#REF!</definedName>
    <definedName name="BEx3L60DJOR7NQN42G7YSAODP1EX" hidden="1">#REF!</definedName>
    <definedName name="BEx3L7D0PI38HWZ7VADU16C9E33D" hidden="1">#REF!</definedName>
    <definedName name="BEx3LM1PR4Y7KINKMTMKR984GX8Q" hidden="1">#REF!</definedName>
    <definedName name="BEx3LPCEZ1C0XEKNCM3YT09JWCUO" hidden="1">#REF!</definedName>
    <definedName name="BEx3M1MR1K1NQD03H74BFWOK4MWQ" hidden="1">#REF!</definedName>
    <definedName name="BEx3M4H77MYUKOOD31H9F80NMVK8" hidden="1">#REF!</definedName>
    <definedName name="BEx3M5TUXQ0TJB2TEUNZEL3BPRT7" hidden="1">#REF!</definedName>
    <definedName name="BEx3M9VFX329PZWYC4DMZ6P3W9R2" hidden="1">#REF!</definedName>
    <definedName name="BEx3MCQ0VEBV0CZXDS505L38EQ8N" hidden="1">#REF!</definedName>
    <definedName name="BEx3MEYV5LQY0BAL7V3CFAFVOM3T" hidden="1">#REF!</definedName>
    <definedName name="BEx3MN26U24ELDPERLY4QPCJ38FM" hidden="1">#REF!</definedName>
    <definedName name="BEx3MREOFWJQEYMCMBL7ZE06NBN6" hidden="1">#REF!</definedName>
    <definedName name="BEx3NKXF7GYXHBK75UI6MDRUSU0J" hidden="1">#REF!</definedName>
    <definedName name="BEx3NLIZ7PHF2XE59ECZ3MD04ZG1" hidden="1">#REF!</definedName>
    <definedName name="BEx3NMQ4BVC94728AUM7CCX7UHTU" hidden="1">#REF!</definedName>
    <definedName name="BEx3NR2I4OUFP3Z2QZEDU2PIFIDI" hidden="1">#REF!</definedName>
    <definedName name="BEx3NX2B5GX1D4OOBNZQHL0C6VI5" hidden="1">#REF!</definedName>
    <definedName name="BEx3O19B8FTTAPVT5DZXQGQXWFR8" hidden="1">#REF!</definedName>
    <definedName name="BEx3O85IKWARA6NCJOLRBRJFMEWW" hidden="1">[27]Balance_sheet!#REF!</definedName>
    <definedName name="BEx3OFSKGV14F1V0VBC4S672RXJ3" hidden="1">#REF!</definedName>
    <definedName name="BEx3OJZSCGFRW7SVGBFI0X9DNVMM" hidden="1">#REF!</definedName>
    <definedName name="BEx3ORSBUXAF21MKEY90YJV9AY9A" hidden="1">#REF!</definedName>
    <definedName name="BEx3OV8BH6PYNZT7C246LOAU9SVX" hidden="1">#REF!</definedName>
    <definedName name="BEx3OXRYJZUEY6E72UJU0PHLMYAR" hidden="1">#REF!</definedName>
    <definedName name="BEx3P59TTRSGQY888P5C1O7M2PQT" hidden="1">#REF!</definedName>
    <definedName name="BEx3PDNRRNKD5GOUBUQFXAHIXLD9" hidden="1">#REF!</definedName>
    <definedName name="BEx3PDT8GNPWLLN02IH1XPV90XYK" hidden="1">#REF!</definedName>
    <definedName name="BEx3PEK4XQ3OC971YL8CK1S5RW48" hidden="1">#REF!</definedName>
    <definedName name="BEx3PKEMDW8KZEP11IL927C5O7I2" hidden="1">#REF!</definedName>
    <definedName name="BEx3PKJZ1Z7L9S6KV8KXVS6B2FX4" hidden="1">#REF!</definedName>
    <definedName name="BEx3PMNG53Z5HY138H99QOMTX8W3" hidden="1">#REF!</definedName>
    <definedName name="BEx3PP1RRSFZ8UC0JC9R91W6LNKW" hidden="1">#REF!</definedName>
    <definedName name="BEx3PT8V4YT0ZWKXA2G8XGYMBFEQ" hidden="1">#REF!</definedName>
    <definedName name="BEx3PVHUENPODYPFTHDCFG2PSFZU" hidden="1">#REF!</definedName>
    <definedName name="BEx3PVXYZC8WB9ZJE7OCKUXZ46EA" hidden="1">#REF!</definedName>
    <definedName name="BEx3Q0VWPU5EQECK7MQ47TYJ3SWW" hidden="1">#REF!</definedName>
    <definedName name="BEx3Q7BZ9PUXK2RLIOFSIS9AHU1B" hidden="1">#REF!</definedName>
    <definedName name="BEx3Q8J42S9VU6EAN2Y28MR6DF88" hidden="1">#REF!</definedName>
    <definedName name="BEx3QEDFOYFY5NBTININ5W4RLD4Q" hidden="1">#REF!</definedName>
    <definedName name="BEx3QIKJ3U962US1Q564NZDLU8LD" hidden="1">#REF!</definedName>
    <definedName name="BEx3QR9D45DHW50VQ7Y3Q1AXPOB9" hidden="1">#REF!</definedName>
    <definedName name="BEx3QSWT2S5KWG6U2V9711IYDQBM" hidden="1">#REF!</definedName>
    <definedName name="BEx3QVGG7Q2X4HZHJAM35A8T3VR7" hidden="1">#REF!</definedName>
    <definedName name="BEx3QVGGAPLBSOAM643XKCCGPZMO" hidden="1">#REF!</definedName>
    <definedName name="BEx3QVR8SUZ58YKXL25P0N5H9DCK" hidden="1">#REF!</definedName>
    <definedName name="BEx3R0JUB9YN8PHPPQTAMIT1IHWK" hidden="1">#REF!</definedName>
    <definedName name="BEx3R81NFRO7M81VHVKOBFT0QBIL" hidden="1">#REF!</definedName>
    <definedName name="BEx3RHC2ZD5UFS6QD4OPFCNNMWH1" hidden="1">#REF!</definedName>
    <definedName name="BEx3RQ10QIWBAPHALAA91BUUCM2X" hidden="1">#REF!</definedName>
    <definedName name="BEx3RV4E1WT43SZBUN09RTB8EK1O" hidden="1">#REF!</definedName>
    <definedName name="BEx3RVVARASFSE8GROFKJ8O6HPE7" hidden="1">#REF!</definedName>
    <definedName name="BEx3RWGVDXWEUHQ3LS9OE2NMM79V" hidden="1">#REF!</definedName>
    <definedName name="BEx3RXYU0QLFXSFTM5EB20GD03W5" hidden="1">#REF!</definedName>
    <definedName name="BEx3RYKLC3QQO3XTUN7BEW2AQL98" hidden="1">#REF!</definedName>
    <definedName name="BEx3SICJ45BYT6FHBER86PJT25FC" hidden="1">#REF!</definedName>
    <definedName name="BEx3SMUCMJVGQ2H4EHQI5ZFHEF0P" hidden="1">#REF!</definedName>
    <definedName name="BEx3SN56F03CPDRDA7LZ763V0N4I" hidden="1">#REF!</definedName>
    <definedName name="BEx3SPE6N1ORXPRCDL3JPZD73Z9F" hidden="1">#REF!</definedName>
    <definedName name="BEx3T29ZTULQE0OMSMWUMZDU9ZZ0" hidden="1">#REF!</definedName>
    <definedName name="BEx3T6MJ1QDJ929WMUDVZ0O3UW0Y" hidden="1">#REF!</definedName>
    <definedName name="BEx3TPCSI16OAB2L9M9IULQMQ9J9" hidden="1">#REF!</definedName>
    <definedName name="BEx3U64YUOZ419BAJS2W78UMATAW" hidden="1">#REF!</definedName>
    <definedName name="BEx3U94WCEA5DKMWBEX1GU0LKYG2" hidden="1">#REF!</definedName>
    <definedName name="BEx3U9VZ8SQVYS6ZA038J7AP7ZGW" hidden="1">#REF!</definedName>
    <definedName name="BEx3UIQ5WRJBGNTFCCLOR4N7B1OQ" hidden="1">#REF!</definedName>
    <definedName name="BEx3UJMIX2NUSSWGMSI25A5DM4CH" hidden="1">#REF!</definedName>
    <definedName name="BEx3UKOCOQG7S1YQ436S997K1KWV" hidden="1">#REF!</definedName>
    <definedName name="BEx3UYM19VIXLA0EU7LB9NHA77PB" hidden="1">#REF!</definedName>
    <definedName name="BEx3VML7CG70HPISMVYIUEN3711Q" hidden="1">#REF!</definedName>
    <definedName name="BEx56ZID5H04P9AIYLP1OASFGV56" hidden="1">#REF!</definedName>
    <definedName name="BEx572IAEN20V0S7R2YYQDMAVBWV" hidden="1">#REF!</definedName>
    <definedName name="BEx587EYSS57E3PI8DT973HLJM9E" hidden="1">#REF!</definedName>
    <definedName name="BEx587KFQ3VKCOCY1SA5F24PQGUI" hidden="1">#REF!</definedName>
    <definedName name="BEx58O780PQ05NF0Z1SKKRB3N099" hidden="1">#REF!</definedName>
    <definedName name="BEx58R734UU6IK6OC3L7NF39F2RE" hidden="1">#REF!</definedName>
    <definedName name="BEx58XHO7ZULLF2EUD7YIS0MGQJ5" hidden="1">#REF!</definedName>
    <definedName name="BEx58ZW0HAIGIPEX9CVA1PQQTR6X" hidden="1">#REF!</definedName>
    <definedName name="BEx59BA1KH3RG6K1LHL7YS2VB79N" hidden="1">#REF!</definedName>
    <definedName name="BEx59E9WABJP2TN71QAIKK79HPK9" hidden="1">#REF!</definedName>
    <definedName name="BEx59JTLDGOK1PDPK65EMGUJMXVK" hidden="1">#REF!</definedName>
    <definedName name="BEx59P7MAPNU129ZTC5H3EH892G1" hidden="1">#REF!</definedName>
    <definedName name="BEx5A11WZRQSIE089QE119AOX9ZG" hidden="1">#REF!</definedName>
    <definedName name="BEx5A7CIGCOTHJKHGUBDZG91JGPZ" hidden="1">#REF!</definedName>
    <definedName name="BEx5A8UFLT2SWVSG5COFA9B8P376" hidden="1">#REF!</definedName>
    <definedName name="BEx5AFFTN3IXIBHDKM0FYC4OFL1S" hidden="1">#REF!</definedName>
    <definedName name="BEx5AOFIO8KVRHIZ1RII337AA8ML" hidden="1">#REF!</definedName>
    <definedName name="BEx5APRZ66L5BWHFE8E4YYNEDTI4" hidden="1">#REF!</definedName>
    <definedName name="BEx5AUVDSQ35VO4BD9AKKGBM5S7D" hidden="1">#REF!</definedName>
    <definedName name="BEx5B40KVAWZQ0UA8WRNDCIK6VEL" hidden="1">#REF!</definedName>
    <definedName name="BEx5B4RHHX0J1BF2FZKEA0SPP29O" hidden="1">#REF!</definedName>
    <definedName name="BEx5B5YMSWP0OVI5CIQRP5V18D0C" hidden="1">#REF!</definedName>
    <definedName name="BEx5B825RW35M5H0UB2IZGGRS4ER" hidden="1">#REF!</definedName>
    <definedName name="BEx5B9K41GK0VVETOIVE409PQ04P" hidden="1">#REF!</definedName>
    <definedName name="BEx5BAWPMY0TL684WDXX6KKJLRCN" hidden="1">#REF!</definedName>
    <definedName name="BEx5BBI61U4Y65GD0ARMTALPP7SJ" hidden="1">#REF!</definedName>
    <definedName name="BEx5BDR56MEV4IHY6CIH2SVNG1UB" hidden="1">#REF!</definedName>
    <definedName name="BEx5BESZC5H329SKHGJOHZFILYJJ" hidden="1">#REF!</definedName>
    <definedName name="BEx5BHSQ42B50IU1TEQFUXFX9XQD" hidden="1">#REF!</definedName>
    <definedName name="BEx5BKSM4UN4C1DM3EYKM79MRC5K" hidden="1">#REF!</definedName>
    <definedName name="BEx5BNN8NPH9KVOBARB9CDD9WLB6" hidden="1">#REF!</definedName>
    <definedName name="BEx5BYFMZ80TDDN2EZO8CF39AIAC" hidden="1">#REF!</definedName>
    <definedName name="BEx5C2BWFW6SHZBFDEISKGXHZCQW" hidden="1">#REF!</definedName>
    <definedName name="BEx5C49ZFH8TO9ZU55729C3F7XG7" hidden="1">#REF!</definedName>
    <definedName name="BEx5C8GZQK13G60ZM70P63I5OS0L" hidden="1">#REF!</definedName>
    <definedName name="BEx5CAPTVN2NBT3UOMA1UFAL1C2R" hidden="1">#REF!</definedName>
    <definedName name="BEx5CEM3SYF9XP0ZZVE0GEPCLV3F" hidden="1">#REF!</definedName>
    <definedName name="BEx5CFYQ0F1Z6P8SCVJ0I3UPVFE4" hidden="1">#REF!</definedName>
    <definedName name="BEx5CINUDCSDCAJSNNV7XVNU8Q79" hidden="1">#REF!</definedName>
    <definedName name="BEx5CNLUIOYU8EODGA03Z3547I9T" hidden="1">#REF!</definedName>
    <definedName name="BEx5CPEKNSJORIPFQC2E1LTRYY8L" hidden="1">#REF!</definedName>
    <definedName name="BEx5CSUOL05D8PAM2TRDA9VRJT1O" hidden="1">#REF!</definedName>
    <definedName name="BEx5CUNFOO4YDFJ22HCMI2QKIGKM" hidden="1">#REF!</definedName>
    <definedName name="BEx5CXY5RAN16IXQDXZRD1PJ9G3G" hidden="1">#REF!</definedName>
    <definedName name="BEx5D8L47OF0WHBPFWXGZINZWUBZ" hidden="1">#REF!</definedName>
    <definedName name="BEx5DAJAHQ2SKUPCKSCR3PYML67L" hidden="1">#REF!</definedName>
    <definedName name="BEx5DBFNG43X9L8BDINOQEVHTLUF" hidden="1">#REF!</definedName>
    <definedName name="BEx5DC18JM1KJCV44PF18E0LNRKA" hidden="1">#REF!</definedName>
    <definedName name="BEx5DJIZBTNS011R9IIG2OQ2L6ZX" hidden="1">#REF!</definedName>
    <definedName name="BEx5E123OLO9WQUOIRIDJ967KAGK" hidden="1">#REF!</definedName>
    <definedName name="BEx5E2UU5NES6W779W2OZTZOB4O7" hidden="1">#REF!</definedName>
    <definedName name="BEx5E4CSE5G83J5K32WENF7BXL82" hidden="1">#REF!</definedName>
    <definedName name="BEx5ELQL9B0VR6UT18KP11DHOTFX" hidden="1">#REF!</definedName>
    <definedName name="BEx5ER4TJTFPN7IB1MNEB1ZFR5M6" hidden="1">#REF!</definedName>
    <definedName name="BEx5F5YS8I4X79BDDIPT2S50U9R0" hidden="1">#REF!</definedName>
    <definedName name="BEx5F6V72QTCK7O39Y59R0EVM6CW" hidden="1">#REF!</definedName>
    <definedName name="BEx5FGLQVACD5F5YZG4DGSCHCGO2" hidden="1">#REF!</definedName>
    <definedName name="BEx5FLJWHLW3BTZILDPN5NMA449V" hidden="1">#REF!</definedName>
    <definedName name="BEx5FNI2O10YN2SI1NO4X5GP3GTF" hidden="1">#REF!</definedName>
    <definedName name="BEx5FO8YRFSZCG3L608EHIHIHFY4" hidden="1">#REF!</definedName>
    <definedName name="BEx5FQNA6V4CNYSH013K45RI4BCV" hidden="1">#REF!</definedName>
    <definedName name="BEx5FVQPPEU32CPNV9RRQ9MNLLVE" hidden="1">#REF!</definedName>
    <definedName name="BEx5G08KGMG5X2AQKDGPFYG5GH94" hidden="1">#REF!</definedName>
    <definedName name="BEx5G1A8TFN4C4QII35U9DKYNIS8" hidden="1">#REF!</definedName>
    <definedName name="BEx5G1L0QO91KEPDMV1D8OT4BT73" hidden="1">#REF!</definedName>
    <definedName name="BEx5G86DZL1VYUX6KWODAP3WFAWP" hidden="1">#REF!</definedName>
    <definedName name="BEx5G8BV2GIOCM3C7IUFK8L04A6M" hidden="1">#REF!</definedName>
    <definedName name="BEx5GID9MVBUPFFT9M8K8B5MO9NV" hidden="1">#REF!</definedName>
    <definedName name="BEx5GN0EWA9SCQDPQ7NTUQH82QVK" hidden="1">#REF!</definedName>
    <definedName name="BEx5GNBCU4WZ74I0UXFL9ZG2XSGJ" hidden="1">#REF!</definedName>
    <definedName name="BEx5GUCTYC7QCWGWU5BTO7Y7HDZX" hidden="1">#REF!</definedName>
    <definedName name="BEx5GYUPJULJQ624TEESYFG1NFOH" hidden="1">#REF!</definedName>
    <definedName name="BEx5H0NEE0AIN5E2UHJ9J9ISU9N1" hidden="1">#REF!</definedName>
    <definedName name="BEx5H1UJSEUQM2K8QHQXO5THVHSO" hidden="1">#REF!</definedName>
    <definedName name="BEx5HAOT9XWUF7XIFRZZS8B9F5TZ" hidden="1">#REF!</definedName>
    <definedName name="BEx5HD33W4W9NJMINZPA6YU8QVAA" hidden="1">#REF!</definedName>
    <definedName name="BEx5HE4XRF9BUY04MENWY9CHHN5H" hidden="1">#REF!</definedName>
    <definedName name="BEx5HFHMABAT0H9KKS754X4T304E" hidden="1">#REF!</definedName>
    <definedName name="BEx5HGDZ7MX1S3KNXLRL9WU565V4" hidden="1">#REF!</definedName>
    <definedName name="BEx5HJZ9FAVNZSSBTAYRPZDYM9NU" hidden="1">#REF!</definedName>
    <definedName name="BEx5HZ9JMKHNLFWLVUB1WP5B39BL" hidden="1">#REF!</definedName>
    <definedName name="BEx5I244LQHZTF3XI66J8705R9XX" hidden="1">#REF!</definedName>
    <definedName name="BEx5I8PBP4LIXDGID5BP0THLO0AQ" hidden="1">#REF!</definedName>
    <definedName name="BEx5I8USVUB3JP4S9OXGMZVMOQXR" hidden="1">#REF!</definedName>
    <definedName name="BEx5I9GDQSYIAL65UQNDMNFQCS9Y" hidden="1">#REF!</definedName>
    <definedName name="BEx5IBUPG9AWNW5PK7JGRGEJ4OLM" hidden="1">#REF!</definedName>
    <definedName name="BEx5IC06RVN8BSAEPREVKHKLCJ2L" hidden="1">#REF!</definedName>
    <definedName name="BEx5IFQYWPUJ24QRETNRMEAJ36S6" hidden="1">#REF!</definedName>
    <definedName name="BEx5J0FFP1KS4NGY20AEJI8VREEA" hidden="1">#REF!</definedName>
    <definedName name="BEx5JF3ZXLDIS8VNKDCY7ZI7H1CI" hidden="1">#REF!</definedName>
    <definedName name="BEx5JHCZJ8G6OOOW6EF3GABXKH6F" hidden="1">#REF!</definedName>
    <definedName name="BEx5JJB6W446THXQCRUKD3I7RKLP" hidden="1">#REF!</definedName>
    <definedName name="BEx5JJWTMI37U3RDEJOYLO93RJ6Z" hidden="1">#REF!</definedName>
    <definedName name="BEx5JNCT8Z7XSSPD5EMNAJELCU2V" hidden="1">#REF!</definedName>
    <definedName name="BEx5JQCNT9Y4RM306CHC8IPY3HBZ" hidden="1">#REF!</definedName>
    <definedName name="BEx5K08PYKE6JOKBYIB006TX619P" hidden="1">#REF!</definedName>
    <definedName name="BEx5K4FS5A69PCOO8MJHE14GW1OP" hidden="1">#REF!</definedName>
    <definedName name="BEx5K51DSERT1TR7B4A29R41W4NX" hidden="1">#REF!</definedName>
    <definedName name="BEx5KYER580I4T7WTLMUN7NLNP5K" hidden="1">#REF!</definedName>
    <definedName name="BEx5LHLB3M6K4ZKY2F42QBZT30ZH" hidden="1">#REF!</definedName>
    <definedName name="BEx5LRMNU3HXIE1BUMDHRU31F7JJ" hidden="1">#REF!</definedName>
    <definedName name="BEx5LSJ1LPUAX3ENSPECWPG4J7D1" hidden="1">#REF!</definedName>
    <definedName name="BEx5LTKQ8RQWJE4BC88OP928893U" hidden="1">#REF!</definedName>
    <definedName name="BEx5M5PS8G82X4FOPRU6M65PH52O" hidden="1">#REF!</definedName>
    <definedName name="BEx5MB9BR71LZDG7XXQ2EO58JC5F" hidden="1">#REF!</definedName>
    <definedName name="BEx5MIGB1BGM5OBHRVXYZFZHLCN7" hidden="1">#REF!</definedName>
    <definedName name="BEx5MLQZM68YQSKARVWTTPINFQ2C" hidden="1">[27]Balance_sheet!#REF!</definedName>
    <definedName name="BEx5MVXTKNBXHNWTL43C670E4KXC" hidden="1">#REF!</definedName>
    <definedName name="BEx5N4XI4PWB1W9PMZ4O5R0HWTYD" hidden="1">#REF!</definedName>
    <definedName name="BEx5NA68N6FJFX9UJXK4M14U487F" hidden="1">#REF!</definedName>
    <definedName name="BEx5NIKBG2GDJOYGE3WCXKU7YY51" hidden="1">#REF!</definedName>
    <definedName name="BEx5NV06L5J5IMKGOMGKGJ4PBZCD" hidden="1">#REF!</definedName>
    <definedName name="BEx5NZSSQ6PY99ZX2D7Q9IGOR34W" hidden="1">#REF!</definedName>
    <definedName name="BEx5O3ZUQ2OARA1CDOZ3NC4UE5AA" hidden="1">#REF!</definedName>
    <definedName name="BEx5OAFS0NJ2CB86A02E1JYHMLQ1" hidden="1">#REF!</definedName>
    <definedName name="BEx5OG4RPU8W1ETWDWM234NYYYEN" hidden="1">#REF!</definedName>
    <definedName name="BEx5OP9Y43F99O2IT69MKCCXGL61" hidden="1">#REF!</definedName>
    <definedName name="BEx5P9Y9RDXNUAJ6CZ2LHMM8IM7T" hidden="1">#REF!</definedName>
    <definedName name="BEx5PHWB2C0D5QLP3BZIP3UO7DIZ" hidden="1">#REF!</definedName>
    <definedName name="BEx5PJP02W68K2E46L5C5YBSNU6T" hidden="1">#REF!</definedName>
    <definedName name="BEx5PLCA8DOMAU315YCS5275L2HS" hidden="1">#REF!</definedName>
    <definedName name="BEx5PRXMZ5M65Z732WNNGV564C2J" hidden="1">#REF!</definedName>
    <definedName name="BEx5QGIEPA8RG6S527SYC06KUB6Y" hidden="1">#REF!</definedName>
    <definedName name="BEx5QPSW4IPLH50WSR87HRER05RF" hidden="1">#REF!</definedName>
    <definedName name="BEx73V0EP8EMNRC3EZJJKKVKWQVB" hidden="1">#REF!</definedName>
    <definedName name="BEx741WJHIJVXUX131SBXTVW8D71" hidden="1">#REF!</definedName>
    <definedName name="BEx74ESIB9Y8KGETIERMKU5PLCQR" hidden="1">#REF!</definedName>
    <definedName name="BEx74Q6H3O7133AWQXWC21MI2UFT" hidden="1">#REF!</definedName>
    <definedName name="BEx74W6BJ8ENO3J25WNM5H5APKA3" hidden="1">#REF!</definedName>
    <definedName name="BEx755GRRD9BL27YHLH5QWIYLWB7" hidden="1">#REF!</definedName>
    <definedName name="BEx759D1D5SXS5ELLZVBI0SXYUNF" hidden="1">#REF!</definedName>
    <definedName name="BEx75GJZSZHUDN6OOAGQYFUDA2LP" hidden="1">#REF!</definedName>
    <definedName name="BEx75HGCCV5K4UCJWYV8EV9AG5YT" hidden="1">#REF!</definedName>
    <definedName name="BEx75OHU5TGUQQKG4PE5N2DE9TQR" hidden="1">#REF!</definedName>
    <definedName name="BEx75PZT8TY5P13U978NVBUXKHT4" hidden="1">#REF!</definedName>
    <definedName name="BEx75T55F7GML8V1DMWL26WRT006" hidden="1">#REF!</definedName>
    <definedName name="BEx75VJGR07JY6UUWURQ4PJ29UKC" hidden="1">#REF!</definedName>
    <definedName name="BEx7741OUGLA0WJQLQRUJSL4DE00" hidden="1">#REF!</definedName>
    <definedName name="BEx774N83DXLJZ54Q42PWIJZ2DN1" hidden="1">#REF!</definedName>
    <definedName name="BEx779QNIY3061ZV9BR462WKEGRW" hidden="1">#REF!</definedName>
    <definedName name="BEx77G19QU9A95CNHE6QMVSQR2T3" hidden="1">#REF!</definedName>
    <definedName name="BEx77P0S3GVMS7BJUL9OWUGJ1B02" hidden="1">#REF!</definedName>
    <definedName name="BEx77QDESURI6WW5582YXSK3A972" hidden="1">#REF!</definedName>
    <definedName name="BEx77VBI9XOPFHKEWU5EHQ9J675Y" hidden="1">#REF!</definedName>
    <definedName name="BEx7809GQOCLHSNH95VOYIX7P1TV" hidden="1">#REF!</definedName>
    <definedName name="BEx780K8XAXUHGVZGZWQ74DK4CI3" hidden="1">#REF!</definedName>
    <definedName name="BEx78226TN58UE0CTY98YEDU0LSL" hidden="1">#REF!</definedName>
    <definedName name="BEx7881ZZBWHRAX6W2GY19J8MGEQ" hidden="1">#REF!</definedName>
    <definedName name="BEx78H6ZRF6FI8U1PRGKIO3XZKQ5" hidden="1">#REF!</definedName>
    <definedName name="BEx78HHRIWDLHQX2LG0HWFRYEL1T" hidden="1">#REF!</definedName>
    <definedName name="BEx78IE5TICTOS1B6LHKMLBKLV1B" hidden="1">#REF!</definedName>
    <definedName name="BEx78QMXZ2P1ZB3HJ9O50DWHCMXR" hidden="1">#REF!</definedName>
    <definedName name="BEx78SFO5VR28677DWZEMDN7G86X" hidden="1">#REF!</definedName>
    <definedName name="BEx78SFOYH1Z0ZDTO47W2M60TW6K" hidden="1">#REF!</definedName>
    <definedName name="BEx79JK3E6JO8MX4O35A5G8NZCC8" hidden="1">#REF!</definedName>
    <definedName name="BEx79OCP4HQ6XP8EWNGEUDLOZBBS" hidden="1">#REF!</definedName>
    <definedName name="BEx79SEAYKUZB0H4LYBCD6WWJBG2" hidden="1">#REF!</definedName>
    <definedName name="BEx79SJRHTLS9PYM69O9BWW1FMJK" hidden="1">#REF!</definedName>
    <definedName name="BEx79YJJLBELICW9F9FRYSCQ101L" hidden="1">#REF!</definedName>
    <definedName name="BEx79YUC7B0V77FSBGIRCY1BR4VK" hidden="1">#REF!</definedName>
    <definedName name="BEx7A06T3RC2891FUX05G3QPRAUE" hidden="1">#REF!</definedName>
    <definedName name="BEx7A9S3JA1X7FH4CFSQLTZC4691" hidden="1">#REF!</definedName>
    <definedName name="BEx7ABA2C9IWH5VSLVLLLCY62161" hidden="1">#REF!</definedName>
    <definedName name="BEx7AE4LPLX8N85BYB0WCO5S7ZPV" hidden="1">#REF!</definedName>
    <definedName name="BEx7AN9MAI5U1X9V0NYSILITOGTW" hidden="1">#REF!</definedName>
    <definedName name="BEx7ASD1I654MEDCO6GGWA95PXSC" hidden="1">#REF!</definedName>
    <definedName name="BEx7AVCX9S5RJP3NSZ4QM4E6ERDT" hidden="1">#REF!</definedName>
    <definedName name="BEx7AVYIGP0930MV5JEBWRYCJN68" hidden="1">#REF!</definedName>
    <definedName name="BEx7B6LH6917TXOSAAQ6U7HVF018" hidden="1">#REF!</definedName>
    <definedName name="BEx7BPXFZXJ79FQ0E8AQE21PGVHA" hidden="1">#REF!</definedName>
    <definedName name="BEx7C04AM39DQMC1TIX7CFZ2ADHX" hidden="1">#REF!</definedName>
    <definedName name="BEx7C40F0PQURHPI6YQ39NFIR86Z" hidden="1">#REF!</definedName>
    <definedName name="BEx7C93VR7SYRIJS1JO8YZKSFAW9" hidden="1">#REF!</definedName>
    <definedName name="BEx7CCPC6R1KQQZ2JQU6EFI1G0RM" hidden="1">#REF!</definedName>
    <definedName name="BEx7CIJST9GLS2QD383UK7VUDTGL" hidden="1">#REF!</definedName>
    <definedName name="BEx7CO8T2XKC7GHDSYNAWTZ9L7YR" hidden="1">#REF!</definedName>
    <definedName name="BEx7CW1CF00DO8A36UNC2X7K65C2" hidden="1">#REF!</definedName>
    <definedName name="BEx7CW6NFRL2P4XWP0MWHIYA97KF" hidden="1">#REF!</definedName>
    <definedName name="BEx7D5RWKRS4W71J4NZ6ZSFHPKFT" hidden="1">#REF!</definedName>
    <definedName name="BEx7D8H1TPOX1UN17QZYEV7Q58GA" hidden="1">#REF!</definedName>
    <definedName name="BEx7DD9OKXQX8ZS30DSF0L20HFIH" hidden="1">#REF!</definedName>
    <definedName name="BEx7DF2ERJ3BST8DZ7EG9M9A39FD" hidden="1">#REF!</definedName>
    <definedName name="BEx7DGF13H2074LRWFZQ45PZ6JPX" hidden="1">#REF!</definedName>
    <definedName name="BEx7DKWUXEDIISSX4GDD4YYT887F" hidden="1">#REF!</definedName>
    <definedName name="BEx7DMUYR2HC26WW7AOB1TULERMB" hidden="1">#REF!</definedName>
    <definedName name="BEx7DVJTRV44IMJIBFXELE67SZ7S" hidden="1">#REF!</definedName>
    <definedName name="BEx7DVUMFCI5INHMVFIJ44RTTSTT" hidden="1">#REF!</definedName>
    <definedName name="BEx7E2QT2U8THYOKBPXONB1B47WH" hidden="1">#REF!</definedName>
    <definedName name="BEx7E5QP7W6UKO74F5Y0VJ741HS5" hidden="1">#REF!</definedName>
    <definedName name="BEx7E6N29HGH3I47AFB2DCS6MVS6" hidden="1">#REF!</definedName>
    <definedName name="BEx7EBA8IYHQKT7IQAOAML660SYA" hidden="1">#REF!</definedName>
    <definedName name="BEx7EI6C8MCRZFEQYUBE5FSUTIHK" hidden="1">#REF!</definedName>
    <definedName name="BEx7EI6DL1Z6UWLFBXAKVGZTKHWJ" hidden="1">#REF!</definedName>
    <definedName name="BEx7EQKHX7GZYOLXRDU534TT4H64" hidden="1">#REF!</definedName>
    <definedName name="BEx7ETV6L1TM7JSXJIGK3FC6RVZW" hidden="1">#REF!</definedName>
    <definedName name="BEx7EWK9GUVV6FXWYIGH0TAI4V2O" hidden="1">#REF!</definedName>
    <definedName name="BEx7EYYLHMBYQTH6I377FCQS7CSX" hidden="1">#REF!</definedName>
    <definedName name="BEx7FCLG1RYI2SNOU1Y2GQZNZSWA" hidden="1">#REF!</definedName>
    <definedName name="BEx7FJ1HTHRQU24P7L38RU8HONWI" hidden="1">#REF!</definedName>
    <definedName name="BEx7FN32ZGWOAA4TTH79KINTDWR9" hidden="1">#REF!</definedName>
    <definedName name="BEx7FNOSRSAJA5AQIQX72WDQGLS8" hidden="1">#REF!</definedName>
    <definedName name="BEx7G82CKM3NIY1PHNFK28M09PCH" hidden="1">#REF!</definedName>
    <definedName name="BEx7GR3ENYWRXXS5IT0UMEGOLGUH" hidden="1">#REF!</definedName>
    <definedName name="BEx7GSAL6P7TASL8MB63RFST1LJL" hidden="1">#REF!</definedName>
    <definedName name="BEx7H0JD6I5I8WQLLWOYWY5YWPQE" hidden="1">#REF!</definedName>
    <definedName name="BEx7H14XCXH7WEXEY1HVO53A6AGH" hidden="1">#REF!</definedName>
    <definedName name="BEx7HFTIA8AC8BR8HKIN81VE1SGW" hidden="1">#REF!</definedName>
    <definedName name="BEx7HGVBEF4LEIF6RC14N3PSU461" hidden="1">#REF!</definedName>
    <definedName name="BEx7HQ5T9FZ42QWS09UO4DT42Y0R" hidden="1">#REF!</definedName>
    <definedName name="BEx7HRCZE3CVGON1HV07MT5MNDZ3" hidden="1">#REF!</definedName>
    <definedName name="BEx7HWGE2CANG5M17X4C8YNC3N8F" hidden="1">#REF!</definedName>
    <definedName name="BEx7HWR6GNDVYBXRDQBJ47P65AWC" hidden="1">#REF!</definedName>
    <definedName name="BEx7I8FZ96C5JAHXS18ZV0912LZP" hidden="1">#REF!</definedName>
    <definedName name="BEx7IBVYN47SFZIA0K4MDKQZNN9V" hidden="1">#REF!</definedName>
    <definedName name="BEx7IV2IJ5WT7UC0UG7WP0WF2JZI" hidden="1">#REF!</definedName>
    <definedName name="BEx7IXGU74GE5E4S6W4Z13AR092Y" hidden="1">#REF!</definedName>
    <definedName name="BEx7J4YL8Q3BI1MLH16YYQ18IJRD" hidden="1">#REF!</definedName>
    <definedName name="BEx7JH3HGBPI07OHZ5LFYK0UFZQR" hidden="1">#REF!</definedName>
    <definedName name="BEx7JV194190CNM6WWGQ3UBJ3CHH" hidden="1">#REF!</definedName>
    <definedName name="BEx7JYS1VHMRAQZ76K058SO9Y0M6" hidden="1">#REF!</definedName>
    <definedName name="BEx7K7GZ607XQOGB81A1HINBTGOZ" hidden="1">#REF!</definedName>
    <definedName name="BEx7KEYPBDXSNROH8M6CDCBN6B50" hidden="1">#REF!</definedName>
    <definedName name="BEx7KSAS8BZT6H8OQCZ5DNSTMO07" hidden="1">#REF!</definedName>
    <definedName name="BEx7KWHTBD21COXVI4HNEQH0Z3L8" hidden="1">#REF!</definedName>
    <definedName name="BEx7KXUGRMRSUXCM97Z7VRZQ9JH2" hidden="1">#REF!</definedName>
    <definedName name="BEx7L08RGDXFOB41U674IG1O9I4W" hidden="1">#REF!</definedName>
    <definedName name="BEx7L21IQVP1N1TTQLRMANSSLSLE" hidden="1">#REF!</definedName>
    <definedName name="BEx7L5C6U8MP6IZ67BD649WQYJEK" hidden="1">#REF!</definedName>
    <definedName name="BEx7L8HEYEVTATR0OG5JJO647KNI" hidden="1">#REF!</definedName>
    <definedName name="BEx7L8XOV64OMS15ZFURFEUXLMWF" hidden="1">#REF!</definedName>
    <definedName name="BEx7LJVFQACL9F4DRS9YZQ9R2N30" hidden="1">#REF!</definedName>
    <definedName name="BEx7MAUI1JJFDIJGDW4RWY5384LY" hidden="1">#REF!</definedName>
    <definedName name="BEx7MJZO3UKAMJ53UWOJ5ZD4GGMQ" hidden="1">#REF!</definedName>
    <definedName name="BEx7MT4MFNXIVQGAT6D971GZW7CA" hidden="1">#REF!</definedName>
    <definedName name="BEx7NI062THZAM6I8AJWTFJL91CS" hidden="1">#REF!</definedName>
    <definedName name="BEx904S75BPRYMHF0083JF7ES4NG" hidden="1">#REF!</definedName>
    <definedName name="BEx90HDD4RWF7JZGA8GCGG7D63MG" hidden="1">#REF!</definedName>
    <definedName name="BEx90SLWKTBJDPUNJPDN4EKRY6I1" hidden="1">#REF!</definedName>
    <definedName name="BEx90VGH5H09ON2QXYC9WIIEU98T" hidden="1">#REF!</definedName>
    <definedName name="BEx9175B70QXYAU5A8DJPGZQ46L9" hidden="1">#REF!</definedName>
    <definedName name="BEx91AQQRTV87AO27VWHSFZAD4ZR" hidden="1">#REF!</definedName>
    <definedName name="BEx91L8FLL5CWLA2CDHKCOMGVDZN" hidden="1">#REF!</definedName>
    <definedName name="BEx91OTVH9ZDBC3QTORU8RZX4EOC" hidden="1">#REF!</definedName>
    <definedName name="BEx91QH5JRZKQP1GPN2SQMR3CKAG" hidden="1">#REF!</definedName>
    <definedName name="BEx91ROALDNHO7FI4X8L61RH4UJE" hidden="1">#REF!</definedName>
    <definedName name="BEx91TMID71GVYH0U16QM1RV3PX0" hidden="1">#REF!</definedName>
    <definedName name="BEx91VF2D78PAF337E3L2L81K9W2" hidden="1">#REF!</definedName>
    <definedName name="BEx921PNZ46VORG2VRMWREWIC0SE" hidden="1">#REF!</definedName>
    <definedName name="BEx92DPEKL5WM5A3CN8674JI0PR3" hidden="1">#REF!</definedName>
    <definedName name="BEx92ER2RMY93TZK0D9L9T3H0GI5" hidden="1">#REF!</definedName>
    <definedName name="BEx92FI04PJT4LI23KKIHRXWJDTT" hidden="1">#REF!</definedName>
    <definedName name="BEx92HR14HQ9D5JXCSPA4SS4RT62" hidden="1">#REF!</definedName>
    <definedName name="BEx92HWA2D6A5EX9MFG68G0NOMSN" hidden="1">#REF!</definedName>
    <definedName name="BEx92PUBDIXAU1FW5ZAXECMAU0LN" hidden="1">#REF!</definedName>
    <definedName name="BEx92S8MHFFIVRQ2YSHZNQGOFUHD" hidden="1">#REF!</definedName>
    <definedName name="BEx93B9OULL2YGC896XXYAAJSTRK" hidden="1">#REF!</definedName>
    <definedName name="BEx93FRKF99NRT3LH99UTIH7AAYF" hidden="1">#REF!</definedName>
    <definedName name="BEx93M7FSHP50OG34A4W8W8DF12U" hidden="1">#REF!</definedName>
    <definedName name="BEx93M7G7FE31BM0FYJEVOOOINPO" hidden="1">#REF!</definedName>
    <definedName name="BEx93OLWY2O3PRA74U41VG5RXT4Q" hidden="1">#REF!</definedName>
    <definedName name="BEx93RWFAF6YJGYUTITVM445C02U" hidden="1">#REF!</definedName>
    <definedName name="BEx93SY9RWG3HUV4YXQKXJH9FH14" hidden="1">#REF!</definedName>
    <definedName name="BEx93TJUX3U0FJDBG6DDSNQ91R5J" hidden="1">#REF!</definedName>
    <definedName name="BEx942UCRHMI4B0US31HO95GSC2X" hidden="1">#REF!</definedName>
    <definedName name="BEx948ZFFQWVIDNG4AZAUGGGEB5U" hidden="1">#REF!</definedName>
    <definedName name="BEx94CKXG92OMURH41SNU6IOHK4J" hidden="1">#REF!</definedName>
    <definedName name="BEx94GXG30CIVB6ZQN3X3IK6BZXQ" hidden="1">#REF!</definedName>
    <definedName name="BEx94HZ5LURYM9ST744ALV6ZCKYP" hidden="1">#REF!</definedName>
    <definedName name="BEx94IQ75E90YUMWJ9N591LR7DQQ" hidden="1">#REF!</definedName>
    <definedName name="BEx94L9TBK45AUQSX1IUZ86U1GPQ" hidden="1">#REF!</definedName>
    <definedName name="BEx94N7W5T3U7UOE97D6OVIBUCXS" hidden="1">#REF!</definedName>
    <definedName name="BEx953PB6S6ECMD8N0JSW0CBG0DA" hidden="1">#REF!</definedName>
    <definedName name="BEx955NIAWX5OLAHMTV6QFUZPR30" hidden="1">#REF!</definedName>
    <definedName name="BEx9581TYVI2M5TT4ISDAJV4W7Z6" hidden="1">#REF!</definedName>
    <definedName name="BEx95NHF4RVUE0YDOAFZEIVBYJXD" hidden="1">#REF!</definedName>
    <definedName name="BEx95QBZMG0E2KQ9BERJ861QLYN3" hidden="1">#REF!</definedName>
    <definedName name="BEx95QHBVDN795UNQJLRXG3RDU49" hidden="1">#REF!</definedName>
    <definedName name="BEx95TBVUWV7L7OMFMZDQEXGVHU6" hidden="1">#REF!</definedName>
    <definedName name="BEx95U89DZZSVO39TGS62CX8G9N4" hidden="1">#REF!</definedName>
    <definedName name="BEx9602K2GHNBUEUVT9ONRQU1GMD" hidden="1">#REF!</definedName>
    <definedName name="BEx962BL3Y4LA53EBYI64ZYMZE8U" hidden="1">#REF!</definedName>
    <definedName name="BEx96EGHWGIK24Z0V7VBKERHSABM" hidden="1">#REF!</definedName>
    <definedName name="BEx96KR21O7H9R29TN0S45Y3QPUK" hidden="1">#REF!</definedName>
    <definedName name="BEx96SUFKHHFE8XQ6UUO6ILDOXHO" hidden="1">#REF!</definedName>
    <definedName name="BEx96UN4YWXBDEZ1U1ZUIPP41Z7I" hidden="1">#REF!</definedName>
    <definedName name="BEx970MYCPJ6DQ44TKLOIGZO5LHH" hidden="1">#REF!</definedName>
    <definedName name="BEx978KSD61YJH3S9DGO050R2EHA" hidden="1">#REF!</definedName>
    <definedName name="BEx97F0SUSOROH0U7J84NAUBSS1Z" hidden="1">#REF!</definedName>
    <definedName name="BEx97H9O1NAKAPK4MX4PKO34ICL5" hidden="1">#REF!</definedName>
    <definedName name="BEx97HVA5F2I0D6ID81KCUDEQOIH" hidden="1">#REF!</definedName>
    <definedName name="BEx97MNUZQ1Z0AO2FL7XQYVNCPR7" hidden="1">#REF!</definedName>
    <definedName name="BEx97NPQBACJVD9K1YXI08RTW9E2" hidden="1">#REF!</definedName>
    <definedName name="BEx97RWQLXS0OORDCN69IGA58CWU" hidden="1">#REF!</definedName>
    <definedName name="BEx97YNGGDFIXHTMGFL2IHAQX9MI" hidden="1">#REF!</definedName>
    <definedName name="BEx981HW73BUZWT14TBTZHC0ZTJ4" hidden="1">#REF!</definedName>
    <definedName name="BEx9871KU0N99P0900EAK69VFYT2" hidden="1">#REF!</definedName>
    <definedName name="BEx98IFKNJFGZFLID1YTRFEG1SXY" hidden="1">#REF!</definedName>
    <definedName name="BEx9915UVD4G7RA3IMLFZ0LG3UA2" hidden="1">#REF!</definedName>
    <definedName name="BEx992CZON8AO7U7V88VN1JBO0MG" hidden="1">#REF!</definedName>
    <definedName name="BEx9952469XMFGSPXL7CMXHPJF90" hidden="1">#REF!</definedName>
    <definedName name="BEx99B77I7TUSHRR4HIZ9FU2EIUT" hidden="1">#REF!</definedName>
    <definedName name="BEx99Q6PH5F3OQKCCAAO75PYDEFN" hidden="1">#REF!</definedName>
    <definedName name="BEx99WBYT2D6UUC1PT7A40ENYID4" hidden="1">#REF!</definedName>
    <definedName name="BEx99XOGHOM28CNCYKQWYGL56W2S" hidden="1">#REF!</definedName>
    <definedName name="BEx99ZRZ4I7FHDPGRAT5VW7NVBPU" hidden="1">#REF!</definedName>
    <definedName name="BEx9AT5E3ZSHKSOL35O38L8HF9TH" hidden="1">#REF!</definedName>
    <definedName name="BEx9AV8W1FAWF5BHATYEN47X12JN" hidden="1">#REF!</definedName>
    <definedName name="BEx9B8A5186FNTQQNLIO5LK02ABI" hidden="1">#REF!</definedName>
    <definedName name="BEx9B8VR20E2CILU4CDQUQQ9ONXK" hidden="1">#REF!</definedName>
    <definedName name="BEx9B917EUP13X6FQ3NPQL76XM5V" hidden="1">#REF!</definedName>
    <definedName name="BEx9BAJ5WYEQ623HUT9NNCMP3RUG" hidden="1">#REF!</definedName>
    <definedName name="BEx9BP7U384B0AQFVK9OLCXP1LIQ" hidden="1">#REF!</definedName>
    <definedName name="BEx9BYSYW7QCPXS2NAVLFAU5Y2Z2" hidden="1">#REF!</definedName>
    <definedName name="BEx9C590HJ2O31IWJB73C1HR74AI" hidden="1">#REF!</definedName>
    <definedName name="BEx9CCQRMYYOGIOYTOM73VKDIPS1" hidden="1">#REF!</definedName>
    <definedName name="BEx9CGSC647PM9XCTHWA02DNE5V0" hidden="1">#REF!</definedName>
    <definedName name="BEx9CNZAQF6P5RAI04VPQ2AW9M3T" hidden="1">#REF!</definedName>
    <definedName name="BEx9D1BC9FT19KY0INAABNDBAMR1" hidden="1">#REF!</definedName>
    <definedName name="BEx9DEI8E0AZ3UH45NS8AKOF4U2S" hidden="1">#REF!</definedName>
    <definedName name="BEx9DN6ZMF18Q39MPMXSDJTZQNJ3" hidden="1">#REF!</definedName>
    <definedName name="BEx9DUU8DALPSCW66GTMQRPXZ6GL" hidden="1">#REF!</definedName>
    <definedName name="BEx9E14TDNSEMI784W0OTIEQMWN6" hidden="1">#REF!</definedName>
    <definedName name="BEx9E2BZ2B1R41FMGJCJ7JLGLUAJ" hidden="1">#REF!</definedName>
    <definedName name="BEx9EERO5A927GCICY9DH8K20960" hidden="1">#REF!</definedName>
    <definedName name="BEx9EG9KBJ77M8LEOR9ITOKN5KXY" hidden="1">#REF!</definedName>
    <definedName name="BEx9EMK6HAJJMVYZTN5AUIV7O1E6" hidden="1">#REF!</definedName>
    <definedName name="BEx9EQLVZHYQ1TPX7WH3SOWXCZLE" hidden="1">#REF!</definedName>
    <definedName name="BEx9ETLU0EK5LGEM1QCNYN2S8O5F" hidden="1">#REF!</definedName>
    <definedName name="BEx9F0Y2ESUNE3U7TQDLMPE9BO67" hidden="1">#REF!</definedName>
    <definedName name="BEx9F4P0S5B2IN066PTNNFAXZBX8" hidden="1">#REF!</definedName>
    <definedName name="BEx9F5W18ZGFOKGRE8PR6T1MO6GT" hidden="1">#REF!</definedName>
    <definedName name="BEx9F78N4HY0XFGBQ4UJRD52L1EI" hidden="1">#REF!</definedName>
    <definedName name="BEx9FF16LOQP5QIR4UHW5EIFGQB8" hidden="1">#REF!</definedName>
    <definedName name="BEx9FJTSRCZ3ZXT3QVBJT5NF8T7V" hidden="1">#REF!</definedName>
    <definedName name="BEx9FRBEEYPS5HLS3XT34AKZN94G" hidden="1">#REF!</definedName>
    <definedName name="BEx9GDHZFZ9TDODD71W5MW9WYKGE" hidden="1">#REF!</definedName>
    <definedName name="BEx9GDY4D8ZPQJCYFIMYM0V0C51Y" hidden="1">#REF!</definedName>
    <definedName name="BEx9GEJNJ6SPMSL5X96DYP1N166O" hidden="1">#REF!</definedName>
    <definedName name="BEx9GGY04V0ZWI6O9KZH4KSBB389" hidden="1">#REF!</definedName>
    <definedName name="BEx9GNOPB6OZ2RH3FCDNJR38RJOS" hidden="1">#REF!</definedName>
    <definedName name="BEx9GUQALUWCD30UKUQGSWW8KBQ7" hidden="1">#REF!</definedName>
    <definedName name="BEx9GY6BVFQGCLMOWVT6PIC9WP5X" hidden="1">#REF!</definedName>
    <definedName name="BEx9GZ2P3FDHKXEBXX2VS0BG2NP2" hidden="1">#REF!</definedName>
    <definedName name="BEx9H04IB14E1437FF2OIRRWBSD7" hidden="1">#REF!</definedName>
    <definedName name="BEx9H5O1KDZJCW91Q29VRPY5YS6P" hidden="1">#REF!</definedName>
    <definedName name="BEx9H8YR0E906F1JXZMBX3LNT004" hidden="1">#REF!</definedName>
    <definedName name="BEx9HUZP85ZM5JCN4U6OO6A245RT" hidden="1">#REF!</definedName>
    <definedName name="BEx9I8XIG7E5NB48QQHXP23FIN60" hidden="1">#REF!</definedName>
    <definedName name="BEx9IQRF01ATLVK0YE60ARKQJ68L" hidden="1">#REF!</definedName>
    <definedName name="BEx9IT5QNZWKM6YQ5WER0DC2PMMU" hidden="1">#REF!</definedName>
    <definedName name="BEx9IW5MFLXTVCJHVUZTUH93AXOS" hidden="1">#REF!</definedName>
    <definedName name="BEx9IXCSPSZC80YZUPRCYTG326KV" hidden="1">#REF!</definedName>
    <definedName name="BEx9IZR39NHDGOM97H4E6F81RTQW" hidden="1">#REF!</definedName>
    <definedName name="BEx9J6CH5E7YZPER7HXEIOIKGPCA" hidden="1">#REF!</definedName>
    <definedName name="BEx9JJTZKVUJAVPTRE0RAVTEH41G" hidden="1">#REF!</definedName>
    <definedName name="BEx9JLBYK239B3F841C7YG1GT7ST" hidden="1">#REF!</definedName>
    <definedName name="BExAW4IIW5D0MDY6TJ3G4FOLPYIR" hidden="1">#REF!</definedName>
    <definedName name="BExAX410NB4F2XOB84OR2197H8M5" hidden="1">#REF!</definedName>
    <definedName name="BExAX8TNG8LQ5Q4904SAYQIPGBSV" hidden="1">#REF!</definedName>
    <definedName name="BExAY0EAT2LXR5MFGM0DLIB45PLO" hidden="1">#REF!</definedName>
    <definedName name="BExAYE6LNIEBR9DSNI5JGNITGKIT" hidden="1">#REF!</definedName>
    <definedName name="BExAYHMLXGGO25P8HYB2S75DEB4F" hidden="1">#REF!</definedName>
    <definedName name="BExAYKXAUWGDOPG952TEJ2UKZKWN" hidden="1">#REF!</definedName>
    <definedName name="BExAYP9TDTI2MBP6EYE0H39CPMXN" hidden="1">#REF!</definedName>
    <definedName name="BExAYPPWJPWDKU59O051WMGB7O0J" hidden="1">#REF!</definedName>
    <definedName name="BExAYQ66P0E2UOEIC2MGC85MKBEI" hidden="1">#REF!</definedName>
    <definedName name="BExAYR2JZCJBUH6F1LZC2A7JIVRJ" hidden="1">#REF!</definedName>
    <definedName name="BExAYTGVRD3DLKO75RFPMBKCIWB8" hidden="1">#REF!</definedName>
    <definedName name="BExAYY9H9COOT46HJLPVDLTO12UL" hidden="1">#REF!</definedName>
    <definedName name="BExAYZ0DMKT8D0JU47ES6GANJ5AI" hidden="1">#REF!</definedName>
    <definedName name="BExAZ8WG0M6ZYE51DITS307LYI1T" hidden="1">#REF!</definedName>
    <definedName name="BExAZCNEGB4JYHC8CZ51KTN890US" hidden="1">#REF!</definedName>
    <definedName name="BExAZFCI302YFYRDJYQDWQQL0Q0O" hidden="1">#REF!</definedName>
    <definedName name="BExAZLHLST9OP89R1HJMC1POQG8H" hidden="1">#REF!</definedName>
    <definedName name="BExAZMDYMIAA7RX1BMCKU1VLBRGY" hidden="1">#REF!</definedName>
    <definedName name="BExAZNL6BHI8DCQWXOX4I2P839UX" hidden="1">#REF!</definedName>
    <definedName name="BExAZRMWSONMCG9KDUM4KAQ7BONM" hidden="1">#REF!</definedName>
    <definedName name="BExAZTFG4SJRG4TW6JXRF7N08JFI" hidden="1">#REF!</definedName>
    <definedName name="BExAZUS4A8OHDZK0MWAOCCCKTH73" hidden="1">#REF!</definedName>
    <definedName name="BExAZX6FECVK3E07KXM2XPYKGM6U" hidden="1">#REF!</definedName>
    <definedName name="BExB012NJ8GASTNNPBRRFTLHIOC9" hidden="1">#REF!</definedName>
    <definedName name="BExB072HHXVMUC0VYNGG48GRSH5Q" hidden="1">#REF!</definedName>
    <definedName name="BExB0FRDEYDEUEAB1W8KD6D965XA" hidden="1">#REF!</definedName>
    <definedName name="BExB0KPCN7YJORQAYUCF4YKIKPMC" hidden="1">#REF!</definedName>
    <definedName name="BExB0MYAWFD6OSNCBQD4OI1ANT1B" hidden="1">#REF!</definedName>
    <definedName name="BExB0WE4PI3NOBXXVO9CTEN4DIU2" hidden="1">#REF!</definedName>
    <definedName name="BExB10AECSFDC2VTOJBZGFJSFULZ" hidden="1">#REF!</definedName>
    <definedName name="BExB10QNIVITUYS55OAEKK3VLJFE" hidden="1">#REF!</definedName>
    <definedName name="BExB15ZDRY4CIJ911DONP0KCY9KU" hidden="1">#REF!</definedName>
    <definedName name="BExB16VQY0O0RLZYJFU3OFEONVTE" hidden="1">#REF!</definedName>
    <definedName name="BExB1FKNY2UO4W5FUGFHJOA2WFGG" hidden="1">#REF!</definedName>
    <definedName name="BExB1GMD0PIDGTFBGQOPRWQSP9I4" hidden="1">#REF!</definedName>
    <definedName name="BExB1Q29OO6LNFNT1EQLA3KYE7MX" hidden="1">#REF!</definedName>
    <definedName name="BExB1TNRV5EBWZEHYLHI76T0FVA7" hidden="1">#REF!</definedName>
    <definedName name="BExB1WI6M8I0EEP1ANUQZCFY24EV" hidden="1">#REF!</definedName>
    <definedName name="BExB1WSZUMMESCKAU4W2JNR00Q4Z" hidden="1">#REF!</definedName>
    <definedName name="BExB203OWC9QZA3BYOKQ18L4FUJE" hidden="1">#REF!</definedName>
    <definedName name="BExB2CJHTU7C591BR4WRL5L2F2K6" hidden="1">#REF!</definedName>
    <definedName name="BExB2K1AV4PGNS1O6C7D7AO411AX" hidden="1">#REF!</definedName>
    <definedName name="BExB2O2UYHKI324YE324E1N7FVIB" hidden="1">#REF!</definedName>
    <definedName name="BExB2Q0VJ0MU2URO3JOVUAVHEI3V" hidden="1">#REF!</definedName>
    <definedName name="BExB30IP1DNKNQ6PZ5ERUGR5MK4Z" hidden="1">#REF!</definedName>
    <definedName name="BExB3J8ZDWD37PQ6D86IY51E9H20" hidden="1">#REF!</definedName>
    <definedName name="BExB442RX0T3L6HUL6X5T21CENW6" hidden="1">#REF!</definedName>
    <definedName name="BExB4ADD0L7417CII901XTFKXD1J" hidden="1">#REF!</definedName>
    <definedName name="BExB4DO1V1NL2AVK5YE1RSL5RYHL" hidden="1">#REF!</definedName>
    <definedName name="BExB4DYU06HCGRIPBSWRCXK804UM" hidden="1">#REF!</definedName>
    <definedName name="BExB4Z3EZBGYYI33U0KQ8NEIH8PY" hidden="1">#REF!</definedName>
    <definedName name="BExB55368XW7UX657ZSPC6BFE92S" hidden="1">#REF!</definedName>
    <definedName name="BExB558OJRODOTYLS2LF31L7AAVC" hidden="1">#REF!</definedName>
    <definedName name="BExB57MZEPL2SA2ONPK66YFLZWJU" hidden="1">#REF!</definedName>
    <definedName name="BExB5833OAOJ22VK1YK47FHUSVK2" hidden="1">#REF!</definedName>
    <definedName name="BExB58JDIHS42JZT9DJJMKA8QFCO" hidden="1">#REF!</definedName>
    <definedName name="BExB58U5FQC5JWV9CGC83HLLZUZI" hidden="1">#REF!</definedName>
    <definedName name="BExB5EDO9XUKHF74X3HAU2WPPHZH" hidden="1">#REF!</definedName>
    <definedName name="BExB5G6EH68AYEP1UT0GHUEL3SLN" hidden="1">#REF!</definedName>
    <definedName name="BExB5LPYD5AUDEE4EW3PX3X62BJX" hidden="1">#REF!</definedName>
    <definedName name="BExB5QYVEZWFE5DQVHAM760EV05X" hidden="1">#REF!</definedName>
    <definedName name="BExB5U9IRH14EMOE0YGIE3WIVLFS" hidden="1">#REF!</definedName>
    <definedName name="BExB5VWYMOV6BAIH7XUBBVPU7MMD" hidden="1">#REF!</definedName>
    <definedName name="BExB610DZWIJP1B72U9QM42COH2B" hidden="1">#REF!</definedName>
    <definedName name="BExB6C3FUAKK9ML5T767NMWGA9YB" hidden="1">#REF!</definedName>
    <definedName name="BExB6C8X6JYRLKZKK17VE3QUNL3D" hidden="1">#REF!</definedName>
    <definedName name="BExB6HN3QRFPXM71MDUK21BKM7PF" hidden="1">#REF!</definedName>
    <definedName name="BExB6IZMHCZ3LB7N73KD90YB1HBZ" hidden="1">#REF!</definedName>
    <definedName name="BExB719SGNX4Y8NE6JEXC555K596" hidden="1">#REF!</definedName>
    <definedName name="BExB7265DCHKS7V2OWRBXCZTEIW9" hidden="1">#REF!</definedName>
    <definedName name="BExB74PS5P9G0P09Y6DZSCX0FLTJ" hidden="1">#REF!</definedName>
    <definedName name="BExB78RH79J0MIF7H8CAZ0CFE88Q" hidden="1">#REF!</definedName>
    <definedName name="BExB7ELT09HGDVO5BJC1ZY9D09GZ" hidden="1">#REF!</definedName>
    <definedName name="BExB7ERBG7N1OUZFDSH0OIPFLO7M" hidden="1">#REF!</definedName>
    <definedName name="BExB806PAXX70XUTA3ZI7OORD78R" hidden="1">#REF!</definedName>
    <definedName name="BExB8HF4UBVZKQCSRFRUQL2EE6VL" hidden="1">#REF!</definedName>
    <definedName name="BExB8HKHKZ1ORJZUYGG2M4VSCC39" hidden="1">#REF!</definedName>
    <definedName name="BExB8QPH8DC5BESEVPSMBCWVN6PO" hidden="1">#REF!</definedName>
    <definedName name="BExB8U5N0D85YR8APKN3PPKG0FWP" hidden="1">#REF!</definedName>
    <definedName name="BExB98UCTIYG3F0VBXHXNZFOPSIG" hidden="1">#REF!</definedName>
    <definedName name="BExB9DHI5I2TJ2LXYPM98EE81L27" hidden="1">#REF!</definedName>
    <definedName name="BExB9P0TF5IAPSXQKQTCBTT3S24X" hidden="1">#REF!</definedName>
    <definedName name="BExB9Q2MZZHBGW8QQKVEYIMJBPIE" hidden="1">#REF!</definedName>
    <definedName name="BExBA1GON0EZRJ20UYPILAPLNQWM" hidden="1">#REF!</definedName>
    <definedName name="BExBA69ASGYRZW1G1DYIS9QRRTBN" hidden="1">#REF!</definedName>
    <definedName name="BExBA6K42582A14WFFWQ3Q8QQWB6" hidden="1">#REF!</definedName>
    <definedName name="BExBA8I5D4R8R2PYQ1K16TWGTOEP" hidden="1">#REF!</definedName>
    <definedName name="BExBA93PE0DGUUTA7LLSIGBIXWE5" hidden="1">#REF!</definedName>
    <definedName name="BExBAI8X0FKDQJ6YZJQDTTG4ZCWY" hidden="1">#REF!</definedName>
    <definedName name="BExBAKN7XIBAXCF9PCNVS038PCQO" hidden="1">#REF!</definedName>
    <definedName name="BExBAKXZ7PBW3DDKKA5MWC1ZUC7O" hidden="1">#REF!</definedName>
    <definedName name="BExBAO8NLXZXHO6KCIECSFCH3RR0" hidden="1">#REF!</definedName>
    <definedName name="BExBAOOT1KBSIEISN1ADL4RMY879" hidden="1">#REF!</definedName>
    <definedName name="BExBAVKX8Q09370X1GCZWJ4E91YJ" hidden="1">#REF!</definedName>
    <definedName name="BExBAX2X2ENJYO4QTR5VAIQ86L7B" hidden="1">#REF!</definedName>
    <definedName name="BExBAZ13D3F1DVJQ6YJ8JGUYEYJE" hidden="1">#REF!</definedName>
    <definedName name="BExBB7VCLVJJMU6QHSC8P4A3PKUA" hidden="1">#REF!</definedName>
    <definedName name="BExBBJPGA9FI313N68JDK681185R" hidden="1">#REF!</definedName>
    <definedName name="BExBBNLQCP52UL475M2VX1GLA5N6" hidden="1">#REF!</definedName>
    <definedName name="BExBBTG649R9I0CT042JLL8LXV18" hidden="1">#REF!</definedName>
    <definedName name="BExBBUCJQRR74Q7GPWDEZXYK2KJL" hidden="1">#REF!</definedName>
    <definedName name="BExBBV8XVMD9CKZY711T0BN7H3PM" hidden="1">#REF!</definedName>
    <definedName name="BExBC78HXWXHO3XAB6E8NVTBGLJS" hidden="1">#REF!</definedName>
    <definedName name="BExBCIXB01JF4ZG7QQKMQ1DHLNP7" hidden="1">#REF!</definedName>
    <definedName name="BExBCKKJTIRKC1RZJRTK65HHLX4W" hidden="1">#REF!</definedName>
    <definedName name="BExBCLMEPAN3XXX174TU8SS0627Q" hidden="1">#REF!</definedName>
    <definedName name="BExBCRBEYR2KZ8FAQFZ2NHY13WIY" hidden="1">#REF!</definedName>
    <definedName name="BExBD2EGP35LW7WHSERPSC3J1XX0" hidden="1">#REF!</definedName>
    <definedName name="BExBD4I559NXSV6J07Q343TKYMVJ" hidden="1">#REF!</definedName>
    <definedName name="BExBDBZQLTX3OGFYGULQFK5WEZU5" hidden="1">#REF!</definedName>
    <definedName name="BExBDE39X6V6BTI1R13DWJTTGUMF" hidden="1">#REF!</definedName>
    <definedName name="BExBDJS9TUEU8Z84IV59E5V4T8K6" hidden="1">#REF!</definedName>
    <definedName name="BExBDKOMSVH4XMH52CFJ3F028I9R" hidden="1">#REF!</definedName>
    <definedName name="BExBDPMQDKZEM3GG0PIX4U9NW5VX" hidden="1">#REF!</definedName>
    <definedName name="BExBDSRXVZQ0W5WXQMP5XD00GRRL" hidden="1">#REF!</definedName>
    <definedName name="BExBDUVGK3E1J4JY9ZYTS7V14BLY" hidden="1">#REF!</definedName>
    <definedName name="BExBE162OSBKD30I7T1DKKPT3I9I" hidden="1">#REF!</definedName>
    <definedName name="BExBE5YPUY1T7N7DHMMIGGXK8TMP" hidden="1">#REF!</definedName>
    <definedName name="BExBE9UYNIA3HXLUN9H3XEYQF3BW" hidden="1">#REF!</definedName>
    <definedName name="BExBEC9ATLQZF86W1M3APSM4HEOH" hidden="1">#REF!</definedName>
    <definedName name="BExBEYFQJE9YK12A6JBMRFKEC7RN" hidden="1">#REF!</definedName>
    <definedName name="BExBG1ED81J2O4A2S5F5Y3BPHMCR" hidden="1">#REF!</definedName>
    <definedName name="BExCQTCBG1FUP7QX6M5XX2RPUCLM" hidden="1">#REF!</definedName>
    <definedName name="BExCRLIHS7466WFJ3RPIUGGXYESZ" hidden="1">#REF!</definedName>
    <definedName name="BExCS1EDDUEAEWHVYXHIP9I1WCJH" hidden="1">#REF!</definedName>
    <definedName name="BExCS6SLRCBH006GNRE27HFRHP40" hidden="1">#REF!</definedName>
    <definedName name="BExCS7ZPMHFJ4UJDAL8CQOLSZ13B" hidden="1">#REF!</definedName>
    <definedName name="BExCS8W4NJUZH9S1CYB6XSDLEPBW" hidden="1">#REF!</definedName>
    <definedName name="BExCSAE1M6G20R41J0Y24YNN0YC1" hidden="1">#REF!</definedName>
    <definedName name="BExCSAOUZOYKHN7HV511TO8VDJ02" hidden="1">#REF!</definedName>
    <definedName name="BExCSMOFTXSUEC1T46LR1UPYRCX5" hidden="1">#REF!</definedName>
    <definedName name="BExCSSDG3TM6TPKS19E9QYJEELZ6" hidden="1">#REF!</definedName>
    <definedName name="BExCSZV7U67UWXL2HKJNM5W1E4OO" hidden="1">#REF!</definedName>
    <definedName name="BExCT4NSDT61OCH04Y2QIFIOP75H" hidden="1">#REF!</definedName>
    <definedName name="BExCTEZZJS8HRW1BEIR4ODW5DEKG" hidden="1">#REF!</definedName>
    <definedName name="BExCTW8G3VCZ55S09HTUGXKB1P2M" hidden="1">#REF!</definedName>
    <definedName name="BExCTYS2KX0QANOLT8LGZ9WV3S3T" hidden="1">#REF!</definedName>
    <definedName name="BExCTZZ9JNES4EDHW97NP0EGQALX" hidden="1">#REF!</definedName>
    <definedName name="BExCU0A1V6NMZQ9ASYJ8QIVQ5UR2" hidden="1">#REF!</definedName>
    <definedName name="BExCU2834920JBHSPCRC4UF80OLL" hidden="1">#REF!</definedName>
    <definedName name="BExCU8O54I3P3WRYWY1CRP3S78QY" hidden="1">#REF!</definedName>
    <definedName name="BExCUDRJO23YOKT8GPWOVQ4XEHF5" hidden="1">#REF!</definedName>
    <definedName name="BExCUPAXFR16YMWL30ME3F3BSRDZ" hidden="1">#REF!</definedName>
    <definedName name="BExCUR94DHCE47PUUWEMT5QZOYR2" hidden="1">#REF!</definedName>
    <definedName name="BExCURJWYTW0HQQ2399EK20ENZAP" hidden="1">#REF!</definedName>
    <definedName name="BExCV26V90XBWQ0EF7YKWN9LJ3BN" hidden="1">#REF!</definedName>
    <definedName name="BExCV634L7SVHGB0UDDTRRQ2Q72H" hidden="1">#REF!</definedName>
    <definedName name="BExCVBXGSXT9FWJRG62PX9S1RK83" hidden="1">#REF!</definedName>
    <definedName name="BExCVHBNLOHNFS0JAV3I1XGPNH9W" hidden="1">#REF!</definedName>
    <definedName name="BExCVI86R31A2IOZIEBY1FJLVILD" hidden="1">#REF!</definedName>
    <definedName name="BExCVKGZXE0I9EIXKBZVSGSEY2RR" hidden="1">#REF!</definedName>
    <definedName name="BExCVV44WY5807WGMTGKPW0GT256" hidden="1">#REF!</definedName>
    <definedName name="BExCVZ5PN4V6MRBZ04PZJW3GEF8S" hidden="1">#REF!</definedName>
    <definedName name="BExCW13R0GWJYGXZBNCPAHQN4NR2" hidden="1">#REF!</definedName>
    <definedName name="BExCW9Y5HWU4RJTNX74O6L24VGCK" hidden="1">#REF!</definedName>
    <definedName name="BExCWPDPESGZS07QGBLSBWDNVJLZ" hidden="1">#REF!</definedName>
    <definedName name="BExCWTVKHIVCRHF8GC39KI58YM5K" hidden="1">#REF!</definedName>
    <definedName name="BExCX2KGRZBRVLZNM8SUSIE6A0RL" hidden="1">#REF!</definedName>
    <definedName name="BExCX3X451T70LZ1VF95L7W4Y4TM" hidden="1">#REF!</definedName>
    <definedName name="BExCX4NZ2N1OUGXM7EV0U7VULJMM" hidden="1">#REF!</definedName>
    <definedName name="BExCXILMURGYMAH6N5LF5DV6K3GM" hidden="1">#REF!</definedName>
    <definedName name="BExCXQUFBMXQ1650735H48B1AZT3" hidden="1">#REF!</definedName>
    <definedName name="BExCY2DQO9VLA77Q7EG3T0XNXX4F" hidden="1">#REF!</definedName>
    <definedName name="BExCY6VMJ68MX3C981R5Q0BX5791" hidden="1">#REF!</definedName>
    <definedName name="BExCYAH2SAZCPW6XCB7V7PMMCAWO" hidden="1">#REF!</definedName>
    <definedName name="BExCYGM5RNP6TRBT3P1GMI9M138J" hidden="1">#REF!</definedName>
    <definedName name="BExCYJBB52X8B3AREHCC1L5QNPX7" hidden="1">#REF!</definedName>
    <definedName name="BExCYPRC5HJE6N2XQTHCT6NXGP8N" hidden="1">#REF!</definedName>
    <definedName name="BExCYUK0I3UEXZNFDW71G6Z6D8XR" hidden="1">#REF!</definedName>
    <definedName name="BExCZ33F4CQC1DYVWW933MBFK7Y4" hidden="1">#REF!</definedName>
    <definedName name="BExCZFZCXMLY5DWESYJ9NGTJYQ8M" hidden="1">#REF!</definedName>
    <definedName name="BExCZJ4P8WS0BDT31WDXI0ROE7D6" hidden="1">#REF!</definedName>
    <definedName name="BExCZKH6NI0EE02L995IFVBD1J59" hidden="1">#REF!</definedName>
    <definedName name="BExCZUD9FEOJBKDJ51Z3JON9LKJ8" hidden="1">#REF!</definedName>
    <definedName name="BExD03T20YGFYZJ1WYG62ZM7GLPM" hidden="1">#REF!</definedName>
    <definedName name="BExD0508DAALLU00PHFPBC8SRRKT" hidden="1">#REF!</definedName>
    <definedName name="BExD0HALIN0JR4JTPGDEVAEE5EX5" hidden="1">#REF!</definedName>
    <definedName name="BExD0LCCDPG16YLY5WQSZF1XI5DA" hidden="1">#REF!</definedName>
    <definedName name="BExD0RMWSB4TRECEHTH6NN4K9DFZ" hidden="1">#REF!</definedName>
    <definedName name="BExD0U6KG10QGVDI1XSHK0J10A2V" hidden="1">#REF!</definedName>
    <definedName name="BExD0XXBNSJY9J82LOM12MS90QU2" hidden="1">#REF!</definedName>
    <definedName name="BExD13RUIBGRXDL4QDZ305UKUR12" hidden="1">#REF!</definedName>
    <definedName name="BExD14DETV5R4OOTMAXD5NAKWRO3" hidden="1">#REF!</definedName>
    <definedName name="BExD1LWIB2B3SL3TM700XYOL5OID" hidden="1">#REF!</definedName>
    <definedName name="BExD1OAU9OXQAZA4D70HP72CU6GB" hidden="1">#REF!</definedName>
    <definedName name="BExD1Y1JV61416YA1XRQHKWPZIE7" hidden="1">#REF!</definedName>
    <definedName name="BExD2719FAPD0V4BCORKH7PQUTRR" hidden="1">#REF!</definedName>
    <definedName name="BExD2CFHIRMBKN5KXE5QP4XXEWFS" hidden="1">#REF!</definedName>
    <definedName name="BExD2DMHH1HWXQ9W0YYMDP8AAX8Q" hidden="1">#REF!</definedName>
    <definedName name="BExD2HTPC7IWBAU6OSQ67MQA8BYZ" hidden="1">#REF!</definedName>
    <definedName name="BExD2MMBN036F9D8NEWIM4V5V91M" hidden="1">#REF!</definedName>
    <definedName name="BExD363H2VGFIQUCE6LS4AC5J0ZT" hidden="1">#REF!</definedName>
    <definedName name="BExD3A588E939V61P1XEW0FI5Q0S" hidden="1">#REF!</definedName>
    <definedName name="BExD3CJJDKVR9M18XI3WDZH80WL6" hidden="1">#REF!</definedName>
    <definedName name="BExD3ESD9WYJIB3TRDPJ1CKXRAVL" hidden="1">#REF!</definedName>
    <definedName name="BExD3F368X5S25MWSUNIV57RDB57" hidden="1">#REF!</definedName>
    <definedName name="BExD3IJ5IT335SOSNV9L85WKAOSI" hidden="1">#REF!</definedName>
    <definedName name="BExD3KBVUY57GMMQTOFEU6S6G1AY" hidden="1">#REF!</definedName>
    <definedName name="BExD3LOJ80N6YEG2BLWHKY6NDFRI" hidden="1">#REF!</definedName>
    <definedName name="BExD3NMR7AW2Z6V8SC79VQR37NA6" hidden="1">#REF!</definedName>
    <definedName name="BExD3QXA2UQ2W4N7NYLUEOG40BZB" hidden="1">#REF!</definedName>
    <definedName name="BExD3U2N041TEJ7GCN005UTPHNXY" hidden="1">#REF!</definedName>
    <definedName name="BExD40O0CFTNJFOFMMM1KH0P7BUI" hidden="1">#REF!</definedName>
    <definedName name="BExD4BR9HJ3MWWZ5KLVZWX9FJAUS" hidden="1">#REF!</definedName>
    <definedName name="BExD4F1WTKT3H0N9MF4H1LX7MBSY" hidden="1">#REF!</definedName>
    <definedName name="BExD4H5GQWXBS6LUL3TSP36DVO38" hidden="1">#REF!</definedName>
    <definedName name="BExD4JJSS3QDBLABCJCHD45SRNPI" hidden="1">#REF!</definedName>
    <definedName name="BExD4R1I0MKF033I5LPUYIMTZ6E8" hidden="1">#REF!</definedName>
    <definedName name="BExD50MT3M6XZLNUP9JL93EG6D9R" hidden="1">#REF!</definedName>
    <definedName name="BExD5EV7KDSVF1CJT38M4IBPFLPY" hidden="1">#REF!</definedName>
    <definedName name="BExD5FRK547OESJRYAW574DZEZ7J" hidden="1">#REF!</definedName>
    <definedName name="BExD5I5X2YA2YNCTCDSMEL4CWF4N" hidden="1">#REF!</definedName>
    <definedName name="BExD5P2293PPKXQY70CRUBOBDDKI" hidden="1">#REF!</definedName>
    <definedName name="BExD5QUSRFJWRQ1ZM50WYLCF74DF" hidden="1">#REF!</definedName>
    <definedName name="BExD5SSUIF6AJQHBHK8PNMFBPRYB" hidden="1">#REF!</definedName>
    <definedName name="BExD623C9LRX18BE0W2V6SZLQUXX" hidden="1">#REF!</definedName>
    <definedName name="BExD6CQA7UMJBXV7AIFAIHUF2ICX" hidden="1">#REF!</definedName>
    <definedName name="BExD6FKVK8WJWNYPVENR7Q8Q30PK" hidden="1">#REF!</definedName>
    <definedName name="BExD6GMP0LK8WKVWMIT1NNH8CHLF" hidden="1">#REF!</definedName>
    <definedName name="BExD6H2TE0WWAUIWVSSCLPZ6B88N" hidden="1">#REF!</definedName>
    <definedName name="BExD71LTOE015TV5RSAHM8NT8GVW" hidden="1">#REF!</definedName>
    <definedName name="BExD73USXVADC7EHGHVTQNCT06ZA" hidden="1">#REF!</definedName>
    <definedName name="BExD77WEMMCKHKVXC3YM98GDW2C5" hidden="1">#REF!</definedName>
    <definedName name="BExD7GAIGULTB3YHM1OS9RBQOTEC" hidden="1">#REF!</definedName>
    <definedName name="BExD7IE1DHIS52UFDCTSKPJQNRD5" hidden="1">#REF!</definedName>
    <definedName name="BExD7IUBGUWHYC9UNZ1IY5XFYKQN" hidden="1">#REF!</definedName>
    <definedName name="BExD7JQOJ35HGL8U2OCEI2P2JT7I" hidden="1">#REF!</definedName>
    <definedName name="BExD7KSDKNDNH95NDT3S7GM3MUU2" hidden="1">#REF!</definedName>
    <definedName name="BExD7U2UMVA61C6N3W9JWKNUSB0R" hidden="1">#REF!</definedName>
    <definedName name="BExD7X888GACPG9U6FKTJ2BSSR7Y" hidden="1">#REF!</definedName>
    <definedName name="BExD8H5O087KQVWIVPUUID5VMGMS" hidden="1">#REF!</definedName>
    <definedName name="BExD8OCLZMFN5K3VZYI4Q4ITVKUA" hidden="1">#REF!</definedName>
    <definedName name="BExD93C1R6LC0631ECHVFYH0R0PD" hidden="1">#REF!</definedName>
    <definedName name="BExD97TXIO0COVNN4OH3DEJ33YLM" hidden="1">#REF!</definedName>
    <definedName name="BExD99RZ1RFIMK6O1ZHSPJ68X9Y5" hidden="1">#REF!</definedName>
    <definedName name="BExD9L0ID3VSOU609GKWYTA5BFMA" hidden="1">#REF!</definedName>
    <definedName name="BExD9M7SEMG0JK2FUTTZXWIEBTKB" hidden="1">#REF!</definedName>
    <definedName name="BExD9MNYBYB1AICQL5165G472IE2" hidden="1">#REF!</definedName>
    <definedName name="BExD9PNSYT7GASEGUVL48MUQ02WO" hidden="1">#REF!</definedName>
    <definedName name="BExD9TK2MIWFH5SKUYU9ZKF4NPHQ" hidden="1">#REF!</definedName>
    <definedName name="BExDA6LD9061UULVKUUI4QP8SK13" hidden="1">#REF!</definedName>
    <definedName name="BExDAGMVMNLQ6QXASB9R6D8DIT12" hidden="1">#REF!</definedName>
    <definedName name="BExDAX4BOJJMNNXS27TUS01QNW57" hidden="1">#REF!</definedName>
    <definedName name="BExDAYBHU9ADLXI8VRC7F608RVGM" hidden="1">#REF!</definedName>
    <definedName name="BExDB9UTYUH5L4HQABNZ5UYX7I1Y" hidden="1">#REF!</definedName>
    <definedName name="BExDBDR1XR0FV0CYUCB2OJ7CJCZU" hidden="1">#REF!</definedName>
    <definedName name="BExDC7F818VN0S18ID7XRCRVYPJ4" hidden="1">#REF!</definedName>
    <definedName name="BExDCCINT6JEJR758D4P8JS9O6JF" hidden="1">#REF!</definedName>
    <definedName name="BExDCL7K96PC9VZYB70ZW3QPVIJE" hidden="1">#REF!</definedName>
    <definedName name="BExDCP3UZ3C2O4C1F7KMU0Z9U32N" hidden="1">#REF!</definedName>
    <definedName name="BExEOBX3WECDMYCV9RLN49APTXMM" hidden="1">#REF!</definedName>
    <definedName name="BExEP4E4F36662JDI0TOD85OP7X9" hidden="1">#REF!</definedName>
    <definedName name="BExEPN9VIYI0FVL0HLZQXJFO6TT0" hidden="1">#REF!</definedName>
    <definedName name="BExEPS2IEVK40HW4N1GLR7YHVDOR" hidden="1">#REF!</definedName>
    <definedName name="BExEPYT6VDSMR8MU2341Q5GM2Y9V" hidden="1">#REF!</definedName>
    <definedName name="BExEQ2ENYLMY8K1796XBB31CJHNN" hidden="1">#REF!</definedName>
    <definedName name="BExEQ2PFE4N40LEPGDPS90WDL6BN" hidden="1">#REF!</definedName>
    <definedName name="BExEQ2PFURT24NQYGYVE8NKX1EGA" hidden="1">#REF!</definedName>
    <definedName name="BExEQ2UWX7VBKQ7XF8D5YYVMKMG9" hidden="1">#REF!</definedName>
    <definedName name="BExEQASRU3Y1A31LBMZ41ZHJ10NT" hidden="1">#REF!</definedName>
    <definedName name="BExEQB8ZWXO6IIGOEPWTLOJGE2NR" hidden="1">#REF!</definedName>
    <definedName name="BExEQBZX0EL6LIKPY01197ACK65H" hidden="1">#REF!</definedName>
    <definedName name="BExEQDXZALJLD4OBF74IKZBR13SR" hidden="1">#REF!</definedName>
    <definedName name="BExEQFLE2RPWGMWQAI4JMKUEFRPT" hidden="1">#REF!</definedName>
    <definedName name="BExEQTZAP8R69U31W4LKGTKKGKQE" hidden="1">#REF!</definedName>
    <definedName name="BExER2O72H1F9WV6S1J04C15PXX7" hidden="1">#REF!</definedName>
    <definedName name="BExERRUIKIOATPZ9U4HQ0V52RJAU" hidden="1">#REF!</definedName>
    <definedName name="BExERSANFNM1O7T65PC5MJ301YET" hidden="1">#REF!</definedName>
    <definedName name="BExERWCEBKQRYWRQLYJ4UCMMKTHG" hidden="1">[27]Balance_sheet!#REF!</definedName>
    <definedName name="BExES44RHHDL3V7FLV6M20834WF1" hidden="1">#REF!</definedName>
    <definedName name="BExES4A7VE2X3RYYTVRLKZD4I7WU" hidden="1">#REF!</definedName>
    <definedName name="BExES6ZC8R7PHJ21OVJFLIR7DY30" hidden="1">#REF!</definedName>
    <definedName name="BExES7A54RTTP08NQPTI7XL0QBJJ" hidden="1">#REF!</definedName>
    <definedName name="BExESDVI55FKQK3B3S9E91UCCJCC" hidden="1">#REF!</definedName>
    <definedName name="BExESG9SOS7YM0LIY3QBVUA8S0B5" hidden="1">#REF!</definedName>
    <definedName name="BExESMKD95A649M0WRSG6CXXP326" hidden="1">#REF!</definedName>
    <definedName name="BExESR27ZXJG5VMY4PR9D940VS7T" hidden="1">#REF!</definedName>
    <definedName name="BExESX228NY8QXEWCIHJIJU8FJJS" hidden="1">#REF!</definedName>
    <definedName name="BExESZ03KXL8DQ2591HLR56ZML94" hidden="1">#REF!</definedName>
    <definedName name="BExESZAW5N443NRTKIP59OEI1CR6" hidden="1">#REF!</definedName>
    <definedName name="BExET3HXQ60A4O2OLKX8QNXRI6LQ" hidden="1">#REF!</definedName>
    <definedName name="BExETA3B1FCIOA80H94K90FWXQKE" hidden="1">#REF!</definedName>
    <definedName name="BExETAZOYT4CJIT8RRKC9F2HJG1D" hidden="1">#REF!</definedName>
    <definedName name="BExETF6QD5A9GEINE1KZRRC2LXWM" hidden="1">#REF!</definedName>
    <definedName name="BExETQ9XRXLUACN82805SPSPNKHI" hidden="1">#REF!</definedName>
    <definedName name="BExETR0YRMOR63E6DHLEHV9QVVON" hidden="1">#REF!</definedName>
    <definedName name="BExETVTGY38YXYYF7N73OYN6FYY3" hidden="1">#REF!</definedName>
    <definedName name="BExEUNE4T242Y59C6MS28MXEUGCP" hidden="1">#REF!</definedName>
    <definedName name="BExEV2TP7NA3ZR6RJGH5ER370OUM" hidden="1">#REF!</definedName>
    <definedName name="BExEV3VIZY48UD7C0HPM7ELXH3BE" hidden="1">#REF!</definedName>
    <definedName name="BExEV69USLNYO2QRJRC0J92XUF00" hidden="1">#REF!</definedName>
    <definedName name="BExEV6KNTQOCFD7GV726XQEVQ7R6" hidden="1">#REF!</definedName>
    <definedName name="BExEV6VGM4POO9QT9KH3QA3VYCWM" hidden="1">#REF!</definedName>
    <definedName name="BExEVET98G3FU6QBF9LHYWSAMV0O" hidden="1">#REF!</definedName>
    <definedName name="BExEVNCUT0PDUYNJH7G6BSEWZOT2" hidden="1">#REF!</definedName>
    <definedName name="BExEVPGF4V5J0WQRZKUM8F9TTKZJ" hidden="1">#REF!</definedName>
    <definedName name="BExEVPWH8S9GER9M14SPIT6XZ8SG" hidden="1">#REF!</definedName>
    <definedName name="BExEVQ7B653MVKYUL65MF6UO980Z" hidden="1">#REF!</definedName>
    <definedName name="BExEVVLIEVWYRF2UUC1H0H5QU1CP" hidden="1">#REF!</definedName>
    <definedName name="BExEVWCKO8T84GW9Z3X47915XKSH" hidden="1">#REF!</definedName>
    <definedName name="BExEVZSJWMZ5L2ZE7AZC57CXKW6T" hidden="1">#REF!</definedName>
    <definedName name="BExEW0JL1GFFCXMDGW54CI7Y8FZN" hidden="1">#REF!</definedName>
    <definedName name="BExEW1W33AX9PYKD7GX012YBDXYB" hidden="1">#REF!</definedName>
    <definedName name="BExEW68M9WL8214QH9C7VCK7BN08" hidden="1">#REF!</definedName>
    <definedName name="BExEW8HFKH6F47KIHYBDRUEFZ2ZZ" hidden="1">#REF!</definedName>
    <definedName name="BExEWFTQA37V809C024WQ9M3QMPF" hidden="1">#REF!</definedName>
    <definedName name="BExEWLO75K95C6IRKHXSP7VP81T4" hidden="1">#REF!</definedName>
    <definedName name="BExEWMKJXJTS4JFZK4T1IJO7VNMB" hidden="1">#REF!</definedName>
    <definedName name="BExEWNBGQS1U2LW3W84T4LSJ9K00" hidden="1">#REF!</definedName>
    <definedName name="BExEWO7STL7HNZSTY8VQBPTX1WK6" hidden="1">#REF!</definedName>
    <definedName name="BExEWQ0M1N3KMKTDJ73H10QSG4W1" hidden="1">#REF!</definedName>
    <definedName name="BExEX85F3OSW8NSCYGYPS9372Z1Q" hidden="1">#REF!</definedName>
    <definedName name="BExEX9HWY2G6928ZVVVQF77QCM2C" hidden="1">#REF!</definedName>
    <definedName name="BExEXBQWAYKMVBRJRHB8PFCSYFVN" hidden="1">#REF!</definedName>
    <definedName name="BExEXRBZ0DI9E2UFLLKYWGN66B61" hidden="1">#REF!</definedName>
    <definedName name="BExEXSTXCXJIQ4KY3BWBLQLT4TO9" hidden="1">#REF!</definedName>
    <definedName name="BExEY4O0SKHV0972GU0RKSMGIE9O" hidden="1">#REF!</definedName>
    <definedName name="BExEYLG9FL9V1JPPNZ3FUDNSEJ4V" hidden="1">#REF!</definedName>
    <definedName name="BExEYOW8C1B3OUUCIGEC7L8OOW1Z" hidden="1">#REF!</definedName>
    <definedName name="BExEYUQJXZT6N5HJH8ACJF6SRWEE" hidden="1">#REF!</definedName>
    <definedName name="BExEZ1S6VZCG01ZPLBSS9Z1SBOJ2" hidden="1">#REF!</definedName>
    <definedName name="BExEZGBFNJR8DLPN0V11AU22L6WY" hidden="1">#REF!</definedName>
    <definedName name="BExF02Y3V3QEPO2XLDSK47APK9XJ" hidden="1">#REF!</definedName>
    <definedName name="BExF09OS91RT7N7IW8JLMZ121ZP3" hidden="1">#REF!</definedName>
    <definedName name="BExF0LOEHV42P2DV7QL8O7HOQ3N9" hidden="1">#REF!</definedName>
    <definedName name="BExF0WRM9VO25RLSO03ZOCE8H7K5" hidden="1">#REF!</definedName>
    <definedName name="BExF0ZRI7W4RSLIDLHTSM0AWXO3S" hidden="1">#REF!</definedName>
    <definedName name="BExF19CT3MMZZ2T5EWMDNG3UOJ01" hidden="1">#REF!</definedName>
    <definedName name="BExF1CCNQP8465UJPIVPSCLAERH0" hidden="1">#REF!</definedName>
    <definedName name="BExF1M38U6NX17YJA8YU359B5Z4M" hidden="1">#REF!</definedName>
    <definedName name="BExF1MU4W3NPEY0OHRDWP5IANCBB" hidden="1">#REF!</definedName>
    <definedName name="BExF1MZN8MWMOKOARHJ1QAF9HPGT" hidden="1">#REF!</definedName>
    <definedName name="BExF1US4ZIQYSU5LBFYNRA9N0K2O" hidden="1">#REF!</definedName>
    <definedName name="BExF2CWZN6E87RGTBMD4YQI2QT7R" hidden="1">#REF!</definedName>
    <definedName name="BExF2DYO1WQ7GMXSTAQRDBW1NSFG" hidden="1">#REF!</definedName>
    <definedName name="BExF2MSWNUY9Z6BZJQZ538PPTION" hidden="1">#REF!</definedName>
    <definedName name="BExF2QZYWHTYGUTTXR15CKCV3LS7" hidden="1">#REF!</definedName>
    <definedName name="BExF2T8Y6TSJ74RMSZOA9CEH4OZ6" hidden="1">#REF!</definedName>
    <definedName name="BExF31N3YM4F37EOOY8M8VI1KXN8" hidden="1">#REF!</definedName>
    <definedName name="BExF328HVW4XJG1SISHL7KFF9RT2" hidden="1">#REF!</definedName>
    <definedName name="BExF37C1YKBT79Z9SOJAG5MXQGTU" hidden="1">#REF!</definedName>
    <definedName name="BExF3A6HPA6DGYALZNHHJPMCUYZR" hidden="1">#REF!</definedName>
    <definedName name="BExF3I9T44X7DV9HHV51DVDDPPZG" hidden="1">#REF!</definedName>
    <definedName name="BExF3JMFX5DILOIFUDIO1HZUK875" hidden="1">#REF!</definedName>
    <definedName name="BExF3NTC4BGZEM6B87TCFX277QCS" hidden="1">#REF!</definedName>
    <definedName name="BExF3Q7NI90WT31QHYSJDIG0LLLJ" hidden="1">#REF!</definedName>
    <definedName name="BExF3QD55TIY1MSBSRK9TUJKBEWO" hidden="1">#REF!</definedName>
    <definedName name="BExF3QT8J6RIF1L3R700MBSKIOKW" hidden="1">#REF!</definedName>
    <definedName name="BExF42SSBVPMLK2UB3B7FPEIY9TU" hidden="1">#REF!</definedName>
    <definedName name="BExF47AOE8W8L2AFGAE8ZAHFZJHE" hidden="1">#REF!</definedName>
    <definedName name="BExF49ZS0Q49Q8R168ONKXV4YI7O" hidden="1">#REF!</definedName>
    <definedName name="BExF4HXSWB50BKYPWA0HTT8W56H6" hidden="1">#REF!</definedName>
    <definedName name="BExF4KHF04IWW4LQ95FHQPFE4Y9K" hidden="1">#REF!</definedName>
    <definedName name="BExF4LU2NV3A47BCWPM3EZXUEH37" hidden="1">#REF!</definedName>
    <definedName name="BExF4MVQM5Y0QRDLDFSKWWTF709C" hidden="1">#REF!</definedName>
    <definedName name="BExF4PVMZYV36E8HOYY06J81AMBI" hidden="1">#REF!</definedName>
    <definedName name="BExF4SF9NEX1FZE9N8EXT89PM54D" hidden="1">#REF!</definedName>
    <definedName name="BExF52GTGP8MHGII4KJ8TJGR8W8U" hidden="1">#REF!</definedName>
    <definedName name="BExF53YR30GKGBFVT2FFPUL71FQC" hidden="1">#REF!</definedName>
    <definedName name="BExF57K7L3UC1I2FSAWURR4SN0UN" hidden="1">#REF!</definedName>
    <definedName name="BExF5D96JEPDW6LV89G2REZJ1ES7" hidden="1">#REF!</definedName>
    <definedName name="BExF5HR2GFV7O8LKG9SJ4BY78LYA" hidden="1">#REF!</definedName>
    <definedName name="BExF5ZFO2A29GHWR5ES64Z9OS16J" hidden="1">#REF!</definedName>
    <definedName name="BExF63S045JO7H2ZJCBTBVH3SUIF" hidden="1">#REF!</definedName>
    <definedName name="BExF642TEGTXCI9A61ZOONJCB0U1" hidden="1">#REF!</definedName>
    <definedName name="BExF67O951CF8UJF3KBDNR0E83C1" hidden="1">#REF!</definedName>
    <definedName name="BExF6EV7I35NVMIJGYTB6E24YVPA" hidden="1">#REF!</definedName>
    <definedName name="BExF6FGUF393KTMBT40S5BYAFG00" hidden="1">#REF!</definedName>
    <definedName name="BExF6GNYXWY8A0SY4PW1B6KJMMTM" hidden="1">#REF!</definedName>
    <definedName name="BExF6IB8K74Z0AFT05GPOKKZW7C9" hidden="1">#REF!</definedName>
    <definedName name="BExF6NUXJI11W2IAZNAM1QWC0459" hidden="1">#REF!</definedName>
    <definedName name="BExF6RR76KNVIXGJOVFO8GDILKGZ" hidden="1">#REF!</definedName>
    <definedName name="BExF6ZE8D5CMPJPRWT6S4HM56LPF" hidden="1">#REF!</definedName>
    <definedName name="BExF76FV8SF7AJK7B35AL7VTZF6D" hidden="1">#REF!</definedName>
    <definedName name="BExF7EOIMC1OYL1N7835KGOI0FIZ" hidden="1">#REF!</definedName>
    <definedName name="BExF7K88K7ASGV6RAOAGH52G04VR" hidden="1">#REF!</definedName>
    <definedName name="BExF7OVDRP3LHNAF2CX4V84CKKIR" hidden="1">#REF!</definedName>
    <definedName name="BExF7QO41X2A2SL8UXDNP99GY7U9" hidden="1">#REF!</definedName>
    <definedName name="BExF81GI8B8WBHXFTET68A9358BR" hidden="1">#REF!</definedName>
    <definedName name="BExGL3IUOBXF5MW2V2JUK394HLQW" hidden="1">#REF!</definedName>
    <definedName name="BExGL97US0Y3KXXASUTVR26XLT70" hidden="1">#REF!</definedName>
    <definedName name="BExGLC7R4C33RO0PID97ZPPVCW4M" hidden="1">#REF!</definedName>
    <definedName name="BExGLFIF7HCFSHNQHKEV6RY0WCO3" hidden="1">#REF!</definedName>
    <definedName name="BExGLTARRL0J772UD2TXEYAVPY6E" hidden="1">#REF!</definedName>
    <definedName name="BExGLVP1IU8K5A8J1340XFMYPR88" hidden="1">#REF!</definedName>
    <definedName name="BExGLYE6RZTAAWHJBG2QFJPTDS2Q" hidden="1">#REF!</definedName>
    <definedName name="BExGM4DZ65OAQP7MA4LN6QMYZOFF" hidden="1">#REF!</definedName>
    <definedName name="BExGMCXCWEC9XNUOEMZ61TMI6CUO" hidden="1">#REF!</definedName>
    <definedName name="BExGMJDGIH0MEPC2TUSFUCY2ROTB" hidden="1">#REF!</definedName>
    <definedName name="BExGMKPW2HPKN0M0XKF3AZ8YP0D6" hidden="1">#REF!</definedName>
    <definedName name="BExGMP2F175LGL6QVSJGP6GKYHHA" hidden="1">#REF!</definedName>
    <definedName name="BExGMPIIP8GKML2VVA8OEFL43NCS" hidden="1">#REF!</definedName>
    <definedName name="BExGMZ3SRIXLXMWBVOXXV3M4U4YL" hidden="1">#REF!</definedName>
    <definedName name="BExGMZ3UBN48IXU1ZEFYECEMZ1IM" hidden="1">#REF!</definedName>
    <definedName name="BExGN4I0QATXNZCLZJM1KH1OIJQH" hidden="1">#REF!</definedName>
    <definedName name="BExGN9FZ2RWCMSY1YOBJKZMNIM9R" hidden="1">#REF!</definedName>
    <definedName name="BExGNDSIMTHOCXXG6QOGR6DA8SGG" hidden="1">#REF!</definedName>
    <definedName name="BExGNJSAU5JD6G5C2PAB0N1Y0RA7" hidden="1">#REF!</definedName>
    <definedName name="BExGNLA94D1SKMWQJNM4A0UAUW4N" hidden="1">#REF!</definedName>
    <definedName name="BExGNLL01R6KH283JPA57WYIBG2K" hidden="1">#REF!</definedName>
    <definedName name="BExGNN2YQ9BDAZXT2GLCSAPXKIM7" hidden="1">#REF!</definedName>
    <definedName name="BExGNSS0CKRPKHO25R3TDBEL2NHX" hidden="1">#REF!</definedName>
    <definedName name="BExGNYH0MO8NOVS85L15G0RWX4GW" hidden="1">#REF!</definedName>
    <definedName name="BExGNZO44DEG8CGIDYSEGDUQ531R" hidden="1">#REF!</definedName>
    <definedName name="BExGO1WZF9Z7LDBQ64HVLM2XPRHY" hidden="1">#REF!</definedName>
    <definedName name="BExGO2O0V6UYDY26AX8OSN72F77N" hidden="1">#REF!</definedName>
    <definedName name="BExGO2YUBOVLYHY1QSIHRE1KLAFV" hidden="1">#REF!</definedName>
    <definedName name="BExGO70E2O70LF46V8T26YFPL4V8" hidden="1">#REF!</definedName>
    <definedName name="BExGOB25QJMQCQE76MRW9X58OIOO" hidden="1">#REF!</definedName>
    <definedName name="BExGODAZKJ9EXMQZNQR5YDBSS525" hidden="1">#REF!</definedName>
    <definedName name="BExGODR8ZSMUC11I56QHSZ686XV5" hidden="1">#REF!</definedName>
    <definedName name="BExGOT6UXUX5FVTAYL9SOBZ1D0II" hidden="1">#REF!</definedName>
    <definedName name="BExGOXJDHUDPDT8I8IVGVW9J0R5Q" hidden="1">#REF!</definedName>
    <definedName name="BExGP388NRBJ6JTGGETXXWIRK04R" hidden="1">#REF!</definedName>
    <definedName name="BExGPA9USXYEWNBILHCD7FSJPVVV" hidden="1">#REF!</definedName>
    <definedName name="BExGPHGT5KDOCMV2EFS4OVKTWBRD" hidden="1">#REF!</definedName>
    <definedName name="BExGPID72Y4Y619LWASUQZKZHJNC" hidden="1">#REF!</definedName>
    <definedName name="BExGPPENQIANVGLVQJ77DK5JPRTB" hidden="1">#REF!</definedName>
    <definedName name="BExGQ1ZU4967P72AHF4V1D0FOL5C" hidden="1">#REF!</definedName>
    <definedName name="BExGQ36ZOMR9GV8T05M605MMOY3Y" hidden="1">#REF!</definedName>
    <definedName name="BExGQ61DTJ0SBFMDFBAK3XZ9O0ZO" hidden="1">#REF!</definedName>
    <definedName name="BExGQ6SG9XEOD0VMBAR22YPZWSTA" hidden="1">#REF!</definedName>
    <definedName name="BExGQGJ1A7LNZUS8QSMOG8UNGLMK" hidden="1">#REF!</definedName>
    <definedName name="BExGQKKQQA7K1F8TV03PRBT1PSAR" hidden="1">#REF!</definedName>
    <definedName name="BExGQL6CO2V92DFELTLZCCBY2K6T" hidden="1">#REF!</definedName>
    <definedName name="BExGQPO7ENFEQC0NC6MC9OZR2LHY" hidden="1">#REF!</definedName>
    <definedName name="BExGQX0H4EZMXBJTKJJE4ICJWN5O" hidden="1">#REF!</definedName>
    <definedName name="BExGR4CW3WRIID17GGX4MI9ZDHFE" hidden="1">#REF!</definedName>
    <definedName name="BExGR65GJX27MU2OL6NI5PB8XVB4" hidden="1">#REF!</definedName>
    <definedName name="BExGR6LQ97HETGS3CT96L4IK0JSH" hidden="1">#REF!</definedName>
    <definedName name="BExGR9ATP2LVT7B9OCPSLJ11H9SX" hidden="1">#REF!</definedName>
    <definedName name="BExGRUKVVKDL8483WI70VN2QZDGD" hidden="1">#REF!</definedName>
    <definedName name="BExGS2IWR5DUNJ1U9PAKIV8CMBNI" hidden="1">#REF!</definedName>
    <definedName name="BExGS69P9FFTEOPDS0MWFKF45G47" hidden="1">#REF!</definedName>
    <definedName name="BExGS6F1JFHM5MUJ1RFO50WP6D05" hidden="1">#REF!</definedName>
    <definedName name="BExGSA5YB5ZGE4NHDVCZ55TQAJTL" hidden="1">#REF!</definedName>
    <definedName name="BExGSCEUCQQVDEEKWJ677QTGUVTE" hidden="1">#REF!</definedName>
    <definedName name="BExGSFUZ95S51YXNTSMA57E2FKO6" hidden="1">#REF!</definedName>
    <definedName name="BExGSQY65LH1PCKKM5WHDW83F35O" hidden="1">#REF!</definedName>
    <definedName name="BExGSYW1GKISF0PMUAK3XJK9PEW9" hidden="1">#REF!</definedName>
    <definedName name="BExGT0DZJB6LSF6L693UUB9EY1VQ" hidden="1">#REF!</definedName>
    <definedName name="BExGTGVFIF8HOQXR54SK065A8M4K" hidden="1">#REF!</definedName>
    <definedName name="BExGTIYX3OWPIINOGY1E4QQYSKHP" hidden="1">#REF!</definedName>
    <definedName name="BExGTKGUN0KUU3C0RL2LK98D8MEK" hidden="1">#REF!</definedName>
    <definedName name="BExGTZ046J7VMUG4YPKFN2K8TWB7" hidden="1">#REF!</definedName>
    <definedName name="BExGU2G9OPRZRIU9YGF6NX9FUW0J" hidden="1">#REF!</definedName>
    <definedName name="BExGU6HTKLRZO8UOI3DTAM5RFDBA" hidden="1">#REF!</definedName>
    <definedName name="BExGUDDZXFFQHAF4UZF8ZB1HO7H6" hidden="1">#REF!</definedName>
    <definedName name="BExGUIBXBRHGM97ZX6GBA4ZDQ79C" hidden="1">#REF!</definedName>
    <definedName name="BExGUM8D91UNPCOO4TKP9FGX85TF" hidden="1">#REF!</definedName>
    <definedName name="BExGUQF9N9FKI7S0H30WUAEB5LPD" hidden="1">#REF!</definedName>
    <definedName name="BExGUR6BA03XPBK60SQUW197GJ5X" hidden="1">#REF!</definedName>
    <definedName name="BExGUVIP60TA4B7X2PFGMBFUSKGX" hidden="1">#REF!</definedName>
    <definedName name="BExGUZKF06F209XL1IZWVJEQ82EE" hidden="1">#REF!</definedName>
    <definedName name="BExGV2EVT380QHD4AP2RL9MR8L5L" hidden="1">#REF!</definedName>
    <definedName name="BExGVV6OOLDQ3TXZK51TTF3YX0WN" hidden="1">#REF!</definedName>
    <definedName name="BExGW0KVS7U0C87XFZ78QW991IEV" hidden="1">#REF!</definedName>
    <definedName name="BExGW2Z7AMPG6H9EXA9ML6EZVGGA" hidden="1">#REF!</definedName>
    <definedName name="BExGWABG5VT5XO1A196RK61AXA8C" hidden="1">#REF!</definedName>
    <definedName name="BExGWEO0JDG84NYLEAV5NSOAGMJZ" hidden="1">#REF!</definedName>
    <definedName name="BExGWLEOC70Z8QAJTPT2PDHTNM4L" hidden="1">#REF!</definedName>
    <definedName name="BExGWNCXLCRTLBVMTXYJ5PHQI6SS" hidden="1">#REF!</definedName>
    <definedName name="BExGX6U988MCFIGDA1282F92U9AA" hidden="1">#REF!</definedName>
    <definedName name="BExGX7FTB1CKAT5HUW6H531FIY6I" hidden="1">#REF!</definedName>
    <definedName name="BExGX9DVACJQIZ4GH6YAD2A7F70O" hidden="1">#REF!</definedName>
    <definedName name="BExGXDVP2S2Y8Z8Q43I78RCIK3DD" hidden="1">#REF!</definedName>
    <definedName name="BExGXJ9W5JU7TT9S0BKL5Y6VVB39" hidden="1">#REF!</definedName>
    <definedName name="BExGXWB73RJ4BASBQTQ8EY0EC1EB" hidden="1">#REF!</definedName>
    <definedName name="BExGXZ0ABB43C7SMRKZHWOSU9EQX" hidden="1">#REF!</definedName>
    <definedName name="BExGY6SU3SYVCJ3AG2ITY59SAZ5A" hidden="1">#REF!</definedName>
    <definedName name="BExGY6YA4P5KMY2VHT0DYK3YTFAX" hidden="1">#REF!</definedName>
    <definedName name="BExGY8G88PVVRYHPHRPJZFSX6HSC" hidden="1">#REF!</definedName>
    <definedName name="BExGYC718HTZ80PNKYPVIYGRJVF6" hidden="1">#REF!</definedName>
    <definedName name="BExGYCNATXZY2FID93B17YWIPPRD" hidden="1">#REF!</definedName>
    <definedName name="BExGYGJJJ3BBCQAOA51WHP01HN73" hidden="1">#REF!</definedName>
    <definedName name="BExGYOS6TV2C72PLRFU8RP1I58GY" hidden="1">#REF!</definedName>
    <definedName name="BExGZ7NXZ0IBS44C2NZ9VMD6T6K2" hidden="1">#REF!</definedName>
    <definedName name="BExGZJ78ZWZCVHZ3BKEKFJZ6MAEO" hidden="1">#REF!</definedName>
    <definedName name="BExGZOLH2QV73J3M9IWDDPA62TP4" hidden="1">#REF!</definedName>
    <definedName name="BExGZP1PWGFKVVVN4YDIS22DZPCR" hidden="1">#REF!</definedName>
    <definedName name="BExH00L21GZX5YJJGVMOAWBERLP5" hidden="1">#REF!</definedName>
    <definedName name="BExH02ZD6VAY1KQLAQYBBI6WWIZB" hidden="1">#REF!</definedName>
    <definedName name="BExH08Z6LQCGGSGSAILMHX4X7JMD" hidden="1">#REF!</definedName>
    <definedName name="BExH0KT9Z8HEVRRQRGQ8YHXRLIJA" hidden="1">#REF!</definedName>
    <definedName name="BExH0M0FDN12YBOCKL3XL2Z7T7Y8" hidden="1">#REF!</definedName>
    <definedName name="BExH0O9G06YPZ5TN9RYT326I1CP2" hidden="1">#REF!</definedName>
    <definedName name="BExH0WNJAKTJRCKMTX8O4KNMIIJM" hidden="1">#REF!</definedName>
    <definedName name="BExH12Y4WX542WI3ZEM15AK4UM9J" hidden="1">#REF!</definedName>
    <definedName name="BExH1FDTQXR9QQ31WDB7OPXU7MPT" hidden="1">#REF!</definedName>
    <definedName name="BExH1FOMEUIJNIDJAUY0ZQFBJSY9" hidden="1">#REF!</definedName>
    <definedName name="BExH1JFFHEBFX9BWJMNIA3N66R3Z" hidden="1">#REF!</definedName>
    <definedName name="BExH1Z0GIUSVTF2H1G1I3PDGBNK2" hidden="1">#REF!</definedName>
    <definedName name="BExH225UTM6S9FW4MUDZS7F1PQSH" hidden="1">#REF!</definedName>
    <definedName name="BExH23271RF7AYZ542KHQTH68GQ7" hidden="1">#REF!</definedName>
    <definedName name="BExH2GJQR4JALNB314RY0LDI49VH" hidden="1">#REF!</definedName>
    <definedName name="BExH2JZR49T7644JFVE7B3N7RZM9" hidden="1">#REF!</definedName>
    <definedName name="BExH2UHF0QTJG107MULYB16WBJM9" hidden="1">#REF!</definedName>
    <definedName name="BExH2WKXV8X5S2GSBBTWGI0NLNAH" hidden="1">#REF!</definedName>
    <definedName name="BExH2XS1UFYFGU0S0EBXX90W2WE8" hidden="1">#REF!</definedName>
    <definedName name="BExH2XS2TND9SB0GC295R4FP6K5Y" hidden="1">#REF!</definedName>
    <definedName name="BExH2ZA0SZ4SSITL50NA8LZ3OEX6" hidden="1">#REF!</definedName>
    <definedName name="BExH31Z3JNVJPESWKXHILGXZHP2M" hidden="1">#REF!</definedName>
    <definedName name="BExH37DBFVMCRIQ2G5KSAOA7MQTW" hidden="1">#REF!</definedName>
    <definedName name="BExH3E9HZ3QJCDZW7WI7YACFQCHE" hidden="1">#REF!</definedName>
    <definedName name="BExH3IRB6764RQ5HBYRLH6XCT29X" hidden="1">#REF!</definedName>
    <definedName name="BExIG2U8V6RSB47SXLCQG3Q68YRO" hidden="1">#REF!</definedName>
    <definedName name="BExIGJBO8R13LV7CZ7C1YCP974NN" hidden="1">#REF!</definedName>
    <definedName name="BExIGWT86FPOEYTI8GXCGU5Y3KGK" hidden="1">#REF!</definedName>
    <definedName name="BExIHBHXA7E7VUTBVHXXXCH3A5CL" hidden="1">#REF!</definedName>
    <definedName name="BExIHPQCQTGEW8QOJVIQ4VX0P6DX" hidden="1">#REF!</definedName>
    <definedName name="BExII1KN91Q7DLW0UB7W2TJ5ACT9" hidden="1">#REF!</definedName>
    <definedName name="BExII2RSCZWFKDD7K23V8TH249UR" hidden="1">#REF!</definedName>
    <definedName name="BExII50LI8I0CDOOZEMIVHVA2V95" hidden="1">#REF!</definedName>
    <definedName name="BExII7PQPONZTNI76JBES47GLCTX" hidden="1">#REF!</definedName>
    <definedName name="BExIINLJJ1P2YTGDI7SFQPK52S5K" hidden="1">#REF!</definedName>
    <definedName name="BExIIXMY38TQD12CVV4S57L3I809" hidden="1">#REF!</definedName>
    <definedName name="BExIIY37NEVU2LGS1JE4VR9AN6W4" hidden="1">#REF!</definedName>
    <definedName name="BExIIYJAGXR8TPZ1KCYM7EGJ79UW" hidden="1">#REF!</definedName>
    <definedName name="BExIJ3160YCWGAVEU0208ZGXXG3P" hidden="1">#REF!</definedName>
    <definedName name="BExIJFGZJ5ED9D6KAY4PGQYLELAX" hidden="1">#REF!</definedName>
    <definedName name="BExIJQK80ZEKSTV62E59AYJYUNLI" hidden="1">#REF!</definedName>
    <definedName name="BExIJRLX3M0YQLU1D5Y9V7HM5QNM" hidden="1">#REF!</definedName>
    <definedName name="BExIJV22J0QA7286KNPMHO1ZUCB3" hidden="1">#REF!</definedName>
    <definedName name="BExIJVI6OC7B6ZE9V4PAOYZXKNER" hidden="1">#REF!</definedName>
    <definedName name="BExIJWK0NGTGQ4X7D5VIVXD14JHI" hidden="1">#REF!</definedName>
    <definedName name="BExIJWPCIYINEJUTXU74VK7WG031" hidden="1">#REF!</definedName>
    <definedName name="BExIKHOM6VKCL04V0TQA9SACS5S1" hidden="1">#REF!</definedName>
    <definedName name="BExIKHTXPZR5A8OHB6HDP6QWDHAD" hidden="1">#REF!</definedName>
    <definedName name="BExIKMMJOETSAXJYY1SIKM58LMA2" hidden="1">#REF!</definedName>
    <definedName name="BExIKRF6AQ6VOO9KCIWSM6FY8M7D" hidden="1">#REF!</definedName>
    <definedName name="BExIKTYZESFT3LC0ASFMFKSE0D1X" hidden="1">#REF!</definedName>
    <definedName name="BExIKXVA6M8K0PTRYAGXS666L335" hidden="1">#REF!</definedName>
    <definedName name="BExIL0PMZ2SXK9R6MLP43KBU1J2P" hidden="1">#REF!</definedName>
    <definedName name="BExILAAXRTRAD18K74M6MGUEEPUM" hidden="1">#REF!</definedName>
    <definedName name="BExILG5F338C0FFLMVOKMKF8X5ZP" hidden="1">#REF!</definedName>
    <definedName name="BExILGQTQM0HOD0BJI90YO7GOIN3" hidden="1">#REF!</definedName>
    <definedName name="BExIM62MNWLLEPJMKIAKQNQT4GAF" hidden="1">#REF!</definedName>
    <definedName name="BExIM9DBUB7ZGF4B20FVUO9QGOX2" hidden="1">#REF!</definedName>
    <definedName name="BExIMAV9S57F5FZRFVFNKCZVHBSN" hidden="1">#REF!</definedName>
    <definedName name="BExIMGK9Z94TFPWWZFMD10HV0IF6" hidden="1">#REF!</definedName>
    <definedName name="BExIMPEGKG18TELVC33T4OQTNBWC" hidden="1">#REF!</definedName>
    <definedName name="BExIMRY4XRNSIH5IHEN71126DJ6L" hidden="1">#REF!</definedName>
    <definedName name="BExIN4OR435DL1US13JQPOQK8GD5" hidden="1">#REF!</definedName>
    <definedName name="BExINI6A7H3KSFRFA6UBBDPKW37F" hidden="1">#REF!</definedName>
    <definedName name="BExINIMK8XC3JOBT2EXYFHHH52H0" hidden="1">#REF!</definedName>
    <definedName name="BExINLX401ZKEGWU168DS4JUM2J6" hidden="1">#REF!</definedName>
    <definedName name="BExINMYYJO1FTV1CZF6O5XCFAMQX" hidden="1">#REF!</definedName>
    <definedName name="BExINP2H4KI05FRFV5PKZFE00HKO" hidden="1">#REF!</definedName>
    <definedName name="BExINZELVWYGU876QUUZCIMXPBQC" hidden="1">#REF!</definedName>
    <definedName name="BExIO7HYE8Q5WZOFJT6SP6YKMHXN" hidden="1">#REF!</definedName>
    <definedName name="BExIOCQUQHKUU1KONGSDOLQTQEIC" hidden="1">#REF!</definedName>
    <definedName name="BExIOFL8Y5O61VLKTB4H20IJNWS1" hidden="1">#REF!</definedName>
    <definedName name="BExIOMBXRW5NS4ZPYX9G5QREZ5J6" hidden="1">#REF!</definedName>
    <definedName name="BExIORA3GK78T7C7SNBJJUONJ0LS" hidden="1">#REF!</definedName>
    <definedName name="BExIORFDXP4AVIEBLSTZ8ETSXMNM" hidden="1">#REF!</definedName>
    <definedName name="BExIOTZ5EFZ2NASVQ05RH15HRSW6" hidden="1">#REF!</definedName>
    <definedName name="BExIP8YNN6UUE1GZ223SWH7DLGKO" hidden="1">#REF!</definedName>
    <definedName name="BExIPAB4AOL592OJCC1CFAXTLF1A" hidden="1">#REF!</definedName>
    <definedName name="BExIPB25DKX4S2ZCKQN7KWSC3JBF" hidden="1">#REF!</definedName>
    <definedName name="BExIPDLT8JYAMGE5HTN4D1YHZF3V" hidden="1">#REF!</definedName>
    <definedName name="BExIPG040Q08EWIWL6CAVR3GRI43" hidden="1">#REF!</definedName>
    <definedName name="BExIPKNFUDPDKOSH5GHDVNA8D66S" hidden="1">#REF!</definedName>
    <definedName name="BExIPVVYR03NM9IJZ7DTMIQNEEPI" hidden="1">#REF!</definedName>
    <definedName name="BExIQ1VS9A2FHVD9TUHKG9K8EVVP" hidden="1">#REF!</definedName>
    <definedName name="BExIQ3J19L30PSQ2CXNT6IHW0I7V" hidden="1">#REF!</definedName>
    <definedName name="BExIQ3OJ7M04XCY276IO0LJA5XUK" hidden="1">#REF!</definedName>
    <definedName name="BExIQ5S19ITB0NDRUN4XV7B905ED" hidden="1">#REF!</definedName>
    <definedName name="BExIQ9TMQT2EIXSVQW7GVSOAW2VJ" hidden="1">#REF!</definedName>
    <definedName name="BExIQBMDE1L6J4H27K1FMSHQKDSE" hidden="1">#REF!</definedName>
    <definedName name="BExIQE65LVXUOF3UZFO7SDHFJH22" hidden="1">#REF!</definedName>
    <definedName name="BExIQG9OO2KKBOWTMD1OXY36TEGA" hidden="1">#REF!</definedName>
    <definedName name="BExIQX1XBB31HZTYEEVOBSE3C5A6" hidden="1">#REF!</definedName>
    <definedName name="BExIQYP5T1TPAQYW7QU1Q98BKX7W" hidden="1">#REF!</definedName>
    <definedName name="BExIR2ALYRP9FW99DK2084J7IIDC" hidden="1">#REF!</definedName>
    <definedName name="BExIR8FQETPTQYW37DBVDWG3J4JW" hidden="1">#REF!</definedName>
    <definedName name="BExIRAJA8BIYFEQX9SKFQFIC0OLX" hidden="1">#REF!</definedName>
    <definedName name="BExIRRBGTY01OQOI3U5SW59RFDFI" hidden="1">#REF!</definedName>
    <definedName name="BExIRYIEQ4YV7Y2M52BLPO0UK7G7" hidden="1">#REF!</definedName>
    <definedName name="BExIS4T0DRF57HYO7OGG72KBOFOI" hidden="1">#REF!</definedName>
    <definedName name="BExIS77BJDDK18PGI9DSEYZPIL7P" hidden="1">#REF!</definedName>
    <definedName name="BExIS8USL1T3Z97CZ30HJ98E2GXQ" hidden="1">#REF!</definedName>
    <definedName name="BExISC5B700MZUBFTQ9K4IKTF7HR" hidden="1">#REF!</definedName>
    <definedName name="BExISDHXS49S1H56ENBPRF1NLD5C" hidden="1">#REF!</definedName>
    <definedName name="BExISM1JLV54A21A164IURMPGUMU" hidden="1">#REF!</definedName>
    <definedName name="BExISMMX8ORF791U8JHF2428JKW8" hidden="1">#REF!</definedName>
    <definedName name="BExISOAC5RKOS9WGUQYTCHFST3QA" hidden="1">#REF!</definedName>
    <definedName name="BExISRFKJYUZ4AKW44IJF7RF9Y90" hidden="1">#REF!</definedName>
    <definedName name="BExIT1MK8TBAK3SNP36A8FKDQSOK" hidden="1">#REF!</definedName>
    <definedName name="BExIT5O4N9JS8QNV336RO5SP9VD3" hidden="1">#REF!</definedName>
    <definedName name="BExITBNYANV2S8KD56GOGCKW393R" hidden="1">#REF!</definedName>
    <definedName name="BExIUD4OJGH65NFNQ4VMCE3R4J1X" hidden="1">#REF!</definedName>
    <definedName name="BExIULIMA32E2XQ1NXFN0260S53F" hidden="1">#REF!</definedName>
    <definedName name="BExIUTB5OAAXYW0OFMP0PS40SPOB" hidden="1">#REF!</definedName>
    <definedName name="BExIUUT2MHIOV6R3WHA0DPM1KBKY" hidden="1">#REF!</definedName>
    <definedName name="BExIUYPDT1AM6MWGWQS646PIZIWC" hidden="1">#REF!</definedName>
    <definedName name="BExIV0I2O9F8D1UK1SI8AEYR6U0A" hidden="1">#REF!</definedName>
    <definedName name="BExIV2LM38XPLRTWT0R44TMQ59E5" hidden="1">#REF!</definedName>
    <definedName name="BExIV3HY4S0YRV1F7XEMF2YHAR2I" hidden="1">#REF!</definedName>
    <definedName name="BExIV6HUZFRIFLXW2SICKGTAH1PV" hidden="1">#REF!</definedName>
    <definedName name="BExIV6Y68EZ6N2YHXMELXG33GRVA" hidden="1">#REF!</definedName>
    <definedName name="BExIVC6WZMHRBRGIBUVX0CO2RK05" hidden="1">#REF!</definedName>
    <definedName name="BExIVCXWL6H5LD9DHDIA4F5U9TQL" hidden="1">#REF!</definedName>
    <definedName name="BExIVMOIPSEWSIHIDDLOXESQ28A0" hidden="1">#REF!</definedName>
    <definedName name="BExIVNVNJX9BYDLC88NG09YF5XQ6" hidden="1">#REF!</definedName>
    <definedName name="BExIVQVKLMGSRYT1LFZH0KUIA4OR" hidden="1">#REF!</definedName>
    <definedName name="BExIVYTFI35KNR2XSA6N8OJYUTUR" hidden="1">#REF!</definedName>
    <definedName name="BExIWB3SY3WRIVIOF988DNNODBOA" hidden="1">#REF!</definedName>
    <definedName name="BExIWB99CG0H52LRD6QWPN4L6DV2" hidden="1">#REF!</definedName>
    <definedName name="BExIWG1W7XP9DFYYSZAIOSHM0QLQ" hidden="1">#REF!</definedName>
    <definedName name="BExIWH3KUK94B7833DD4TB0Y6KP9" hidden="1">#REF!</definedName>
    <definedName name="BExIWKE9MGIDWORBI43AWTUNYFAN" hidden="1">#REF!</definedName>
    <definedName name="BExIX34PM5DBTRHRQWP6PL6WIX88" hidden="1">#REF!</definedName>
    <definedName name="BExIX4H6LL7HVR7M02Y3F3RPPCJ8" hidden="1">#REF!</definedName>
    <definedName name="BExIX5OAP9KSUE5SIZCW9P39Q4WE" hidden="1">#REF!</definedName>
    <definedName name="BExIXGRJPVJMUDGSG7IHPXPNO69B" hidden="1">#REF!</definedName>
    <definedName name="BExIXM5R87ZL3FHALWZXYCPHGX3E" hidden="1">#REF!</definedName>
    <definedName name="BExIXS036ZCKT2Z8XZKLZ8PFWQGL" hidden="1">#REF!</definedName>
    <definedName name="BExIXY5CF9PFM0P40AZ4U51TMWV0" hidden="1">#REF!</definedName>
    <definedName name="BExIYEXJBK8JDWIRSVV4RJSKZVV1" hidden="1">#REF!</definedName>
    <definedName name="BExIYI2RH0K4225XO970K2IQ1E79" hidden="1">#REF!</definedName>
    <definedName name="BExIYMPZ0KS2KOJFQAUQJ77L7701" hidden="1">#REF!</definedName>
    <definedName name="BExIYO2KO736PNFCYSAX1AN112PQ" hidden="1">#REF!</definedName>
    <definedName name="BExIYP9Q6FV9T0R9G3UDKLS4TTYX" hidden="1">#REF!</definedName>
    <definedName name="BExIYZGLDQ1TN7BIIN4RLDP31GIM" hidden="1">#REF!</definedName>
    <definedName name="BExIZ1UWYP2WK9SWVTJ6JBH53JZS" hidden="1">#REF!</definedName>
    <definedName name="BExIZ4K0EZJK6PW3L8SVKTJFSWW9" hidden="1">#REF!</definedName>
    <definedName name="BExIZAECOEZGBAO29QMV14E6XDIV" hidden="1">#REF!</definedName>
    <definedName name="BExIZKVXYD5O2JBU81F2UFJZLLSI" hidden="1">#REF!</definedName>
    <definedName name="BExIZPZDHC8HGER83WHCZAHOX7LK" hidden="1">#REF!</definedName>
    <definedName name="BExIZY2PUZ0OF9YKK1B13IW0VS6G" hidden="1">#REF!</definedName>
    <definedName name="BExJ08KBRR2XMWW3VZMPSQKXHZUH" hidden="1">#REF!</definedName>
    <definedName name="BExJ0DYJWXGE7DA39PYL3WM05U9O" hidden="1">#REF!</definedName>
    <definedName name="BExJ0MY8SY5J5V50H3UKE78ODTVB" hidden="1">#REF!</definedName>
    <definedName name="BExJ0YC98G37ML4N8FLP8D95EFRF" hidden="1">#REF!</definedName>
    <definedName name="BExKCDYKAEV45AFXHVHZZ62E5BM3" hidden="1">#REF!</definedName>
    <definedName name="BExKDKO0W4AGQO1V7K6Q4VM750FT" hidden="1">#REF!</definedName>
    <definedName name="BExKDLF10G7W77J87QWH3ZGLUCLW" hidden="1">#REF!</definedName>
    <definedName name="BExKEFE0I3MT6ZLC4T1L9465HKTN" hidden="1">#REF!</definedName>
    <definedName name="BExKEK6O5BVJP4VY02FY7JNAZ6BT" hidden="1">#REF!</definedName>
    <definedName name="BExKEKXK6E6QX339ELPXDIRZSJE0" hidden="1">#REF!</definedName>
    <definedName name="BExKEOOIBMP7N8033EY2CJYCBX6H" hidden="1">#REF!</definedName>
    <definedName name="BExKERDL3T7W8Z4N7DP09ULLFR4N" hidden="1">#REF!</definedName>
    <definedName name="BExKEW0RR5LA3VC46A2BEOOMQE56" hidden="1">#REF!</definedName>
    <definedName name="BExKFA3VI1CZK21SM0N3LZWT9LA1" hidden="1">#REF!</definedName>
    <definedName name="BExKFINBFV5J2NFRCL4YUO3YF0ZE" hidden="1">#REF!</definedName>
    <definedName name="BExKFISRBFACTAMJSALEYMY66F6X" hidden="1">#REF!</definedName>
    <definedName name="BExKFOSK5DJ151C4E8544UWMYTOC" hidden="1">#REF!</definedName>
    <definedName name="BExKFYJC4EVEV54F82K6VKP7Q3OU" hidden="1">#REF!</definedName>
    <definedName name="BExKG4IYHBKQQ8J8FN10GB2IKO33" hidden="1">#REF!</definedName>
    <definedName name="BExKGF0L44S78D33WMQ1A75TRKB9" hidden="1">#REF!</definedName>
    <definedName name="BExKGFRN31B3G20LMQ4LRF879J68" hidden="1">#REF!</definedName>
    <definedName name="BExKGJD3U3ADZILP20U3EURP0UQP" hidden="1">#REF!</definedName>
    <definedName name="BExKGNK5YGKP0YHHTAAOV17Z9EIM" hidden="1">#REF!</definedName>
    <definedName name="BExKGV77YH9YXIQTRKK2331QGYKF" hidden="1">#REF!</definedName>
    <definedName name="BExKH3FTZ5VGTB86W9M4AB39R0G8" hidden="1">#REF!</definedName>
    <definedName name="BExKH3FV5U5O6XZM7STS3NZKQFGJ" hidden="1">#REF!</definedName>
    <definedName name="BExKHAMUH8NR3HRV0V6FHJE3ROLN" hidden="1">#REF!</definedName>
    <definedName name="BExKHCFKOWFHO2WW0N7Y5XDXEWAO" hidden="1">#REF!</definedName>
    <definedName name="BExKHIVLONZ46HLMR50DEXKEUNEP" hidden="1">#REF!</definedName>
    <definedName name="BExKHKDK2PRBCUJS8TEDP8K3VODQ" hidden="1">#REF!</definedName>
    <definedName name="BExKHPM9XA0ADDK7TUR0N38EXWEP" hidden="1">#REF!</definedName>
    <definedName name="BExKI4076KXCDE5KXL79KT36OKLO" hidden="1">#REF!</definedName>
    <definedName name="BExKI7LO70WYISR7Q0Y1ZDWO9M3B" hidden="1">#REF!</definedName>
    <definedName name="BExKIB1U6HN2IB684PT288GX3ICO" hidden="1">#REF!</definedName>
    <definedName name="BExKIGQV6TXIZG039HBOJU62WP2U" hidden="1">#REF!</definedName>
    <definedName name="BExKILE008SF3KTAN8WML3XKI1NZ" hidden="1">#REF!</definedName>
    <definedName name="BExKINSBB6RS7I489QHMCOMU4Z2X" hidden="1">#REF!</definedName>
    <definedName name="BExKIU87ZKSOC2DYZWFK6SAK9I8E" hidden="1">#REF!</definedName>
    <definedName name="BExKJ449HLYX2DJ9UF0H9GTPSQ73" hidden="1">#REF!</definedName>
    <definedName name="BExKJAUYKQFHAGHYNBB8NPE19YLL" hidden="1">#REF!</definedName>
    <definedName name="BExKJELX2RUC8UEC56IZPYYZXHA7" hidden="1">#REF!</definedName>
    <definedName name="BExKJINMXS61G2TZEXCJAWVV4F57" hidden="1">#REF!</definedName>
    <definedName name="BExKJK5ME8KB7HA0180L7OUZDDGV" hidden="1">#REF!</definedName>
    <definedName name="BExKJN5IF0VMDILJ5K8ZENF2QYV1" hidden="1">#REF!</definedName>
    <definedName name="BExKJOY9D543S3WGW9K74B8QM8TJ" hidden="1">#REF!</definedName>
    <definedName name="BExKJQQTMBNE8Y9XXECU3VJ6SM0M" hidden="1">#REF!</definedName>
    <definedName name="BExKJUSJPFUIK20FTVAFJWR2OUYX" hidden="1">#REF!</definedName>
    <definedName name="BExKK8VP5RS3D0UXZVKA37C4SYBP" hidden="1">#REF!</definedName>
    <definedName name="BExKKIM9NPF6B3SPMPIQB27HQME4" hidden="1">#REF!</definedName>
    <definedName name="BExKKIX1BCBQ4R3K41QD8NTV0OV0" hidden="1">#REF!</definedName>
    <definedName name="BExKKQ3ZWADYV03YHMXDOAMU90EB" hidden="1">#REF!</definedName>
    <definedName name="BExKKUGD2HMJWQEYZ8H3X1BMXFS9" hidden="1">#REF!</definedName>
    <definedName name="BExKKX05KCZZZPKOR1NE5A8RGVT4" hidden="1">#REF!</definedName>
    <definedName name="BExKLD6S9L66QYREYHBE5J44OK7X" hidden="1">#REF!</definedName>
    <definedName name="BExKLEZK32L28GYJWVO63BZ5E1JD" hidden="1">#REF!</definedName>
    <definedName name="BExKLLKVVHT06LA55JB2FC871DC5" hidden="1">#REF!</definedName>
    <definedName name="BExKMWBX4EH3EYJ07UFEM08NB40Z" hidden="1">#REF!</definedName>
    <definedName name="BExKNBGV2IR3S7M0BX4810KZB4V3" hidden="1">#REF!</definedName>
    <definedName name="BExKNCTBZTSY3MO42VU5PLV6YUHZ" hidden="1">#REF!</definedName>
    <definedName name="BExKNGV2YY749C42AQ2T9QNIE5C3" hidden="1">#REF!</definedName>
    <definedName name="BExKNV8UOHVWEHDJWI2WMJ9X6QHZ" hidden="1">#REF!</definedName>
    <definedName name="BExKNZLD7UATC1MYRNJD8H2NH4KU" hidden="1">#REF!</definedName>
    <definedName name="BExKNZQUKQQG2Y97R74G4O4BJP1L" hidden="1">#REF!</definedName>
    <definedName name="BExKO06X0EAD3ABEG1E8PWLDWHBA" hidden="1">#REF!</definedName>
    <definedName name="BExKO2AHHSGNI1AZOIOW21KPXKPE" hidden="1">#REF!</definedName>
    <definedName name="BExKO2FXWJWC5IZLDN8JHYILQJ2N" hidden="1">#REF!</definedName>
    <definedName name="BExKO438WZ8FKOU00NURGFMOYXWN" hidden="1">#REF!</definedName>
    <definedName name="BExKODIZGWW2EQD0FEYW6WK6XLCM" hidden="1">#REF!</definedName>
    <definedName name="BExKOPO2HPWVQGAKW8LOZMPIDEFG" hidden="1">#REF!</definedName>
    <definedName name="BExKPEZP0QTKOTLIMMIFSVTHQEEK" hidden="1">#REF!</definedName>
    <definedName name="BExKPL4TH85ZH4PCCDR8O2MX2UKL" hidden="1">#REF!</definedName>
    <definedName name="BExKPLQJX0HJ8OTXBXH9IC9J2V0W" hidden="1">#REF!</definedName>
    <definedName name="BExKPN8C7GN36ZJZHLOB74LU6KT0" hidden="1">#REF!</definedName>
    <definedName name="BExKPX9VZ1J5021Q98K60HMPJU58" hidden="1">#REF!</definedName>
    <definedName name="BExKQJGAAWNM3NT19E9I0CQDBTU0" hidden="1">#REF!</definedName>
    <definedName name="BExKQM5GJ1ZN5REKFE7YVBQ0KXWF" hidden="1">#REF!</definedName>
    <definedName name="BExKQMQZN2OES9G881QMRLVUIK4J" hidden="1">#REF!</definedName>
    <definedName name="BExKQOEA7HV9U5DH9C8JXFD62EKH" hidden="1">#REF!</definedName>
    <definedName name="BExKQQ71278061G7ZFYGPWOMOMY2" hidden="1">#REF!</definedName>
    <definedName name="BExKQTXRG3ECU8NT47UR7643LO5G" hidden="1">#REF!</definedName>
    <definedName name="BExKQVL7HPOIZ4FHANDFMVOJLEPR" hidden="1">#REF!</definedName>
    <definedName name="BExKR32XG1WY77WDT8KW9FJPGQTU" hidden="1">#REF!</definedName>
    <definedName name="BExKR7KS79K5WXYJKKYLVDXMU5EL" hidden="1">#REF!</definedName>
    <definedName name="BExKR8RZSEHW184G0Z56B4EGNU72" hidden="1">#REF!</definedName>
    <definedName name="BExKRVUSQ6PA7ZYQSTEQL3X7PB9P" hidden="1">#REF!</definedName>
    <definedName name="BExKRY3KZ7F7RB2KH8HXSQ85IEQO" hidden="1">#REF!</definedName>
    <definedName name="BExKSA37DZTCK6H13HPIKR0ZFVL8" hidden="1">#REF!</definedName>
    <definedName name="BExKSFMOMSZYDE0WNC94F40S6636" hidden="1">#REF!</definedName>
    <definedName name="BExKSHQ9K79S8KYUWIV5M5LAHHF1" hidden="1">#REF!</definedName>
    <definedName name="BExKSIS3VA1NCEFCZZSIK8B3YIBZ" hidden="1">#REF!</definedName>
    <definedName name="BExKSJTWG9L3FCX8FLK4EMUJMF27" hidden="1">#REF!</definedName>
    <definedName name="BExKSU0MKNAVZYYPKCYTZDWQX4R8" hidden="1">#REF!</definedName>
    <definedName name="BExKSX60G1MUS689FXIGYP2F7C62" hidden="1">#REF!</definedName>
    <definedName name="BExKT2UZ7Y2VWF5NQE18SJRLD2RN" hidden="1">#REF!</definedName>
    <definedName name="BExKT3GJFNGAM09H5F615E36A38C" hidden="1">#REF!</definedName>
    <definedName name="BExKTQZGN8GI3XGSEXMPCCA3S19H" hidden="1">#REF!</definedName>
    <definedName name="BExKTUKYYU0F6TUW1RXV24LRAZFE" hidden="1">#REF!</definedName>
    <definedName name="BExKTYH859J348IG248FZQU1XEHB" hidden="1">#REF!</definedName>
    <definedName name="BExKU3FBLHQBIUTN6XEZW5GC9OG1" hidden="1">#REF!</definedName>
    <definedName name="BExKU40S5XKM3Z4B40TZV1PF9GR0" hidden="1">#REF!</definedName>
    <definedName name="BExKU82I99FEUIZLODXJDOJC96CQ" hidden="1">#REF!</definedName>
    <definedName name="BExKUDM0DFSCM3D91SH0XLXJSL18" hidden="1">#REF!</definedName>
    <definedName name="BExKULEKJLA77AUQPDUHSM94Y76Z" hidden="1">#REF!</definedName>
    <definedName name="BExKV08R85MKI3MAX9E2HERNQUNL" hidden="1">#REF!</definedName>
    <definedName name="BExKV4AAUNNJL5JWD7PX6BFKVS6O" hidden="1">#REF!</definedName>
    <definedName name="BExKV6ZF9ASVV1F87PHXXTBSVAR4" hidden="1">#REF!</definedName>
    <definedName name="BExKVDVK6HN74GQPTXICP9BFC8CF" hidden="1">#REF!</definedName>
    <definedName name="BExKVFZ3ZZGIC1QI8XN6BYFWN0ZY" hidden="1">#REF!</definedName>
    <definedName name="BExKVG4KGO28KPGTAFL1R8TTZ10N" hidden="1">#REF!</definedName>
    <definedName name="BExKW0CSH7DA02YSNV64PSEIXB2P" hidden="1">#REF!</definedName>
    <definedName name="BExKWSTSG9JNRVU9ZJQ9FEG3Y1OV" hidden="1">#REF!</definedName>
    <definedName name="BExM9NUG3Q31X01AI9ZJCZIX25CS" hidden="1">#REF!</definedName>
    <definedName name="BExM9OG182RP30MY23PG49LVPZ1C" hidden="1">#REF!</definedName>
    <definedName name="BExMA64MW1S18NH8DCKPCCEI5KCB" hidden="1">#REF!</definedName>
    <definedName name="BExMALEWFUEM8Y686IT03ECURUBR" hidden="1">#REF!</definedName>
    <definedName name="BExMAR3XSK6RSFLHP7ZX1EWGHASI" hidden="1">#REF!</definedName>
    <definedName name="BExMAXJS82ZJ8RS22VLE0V0LDUII" hidden="1">#REF!</definedName>
    <definedName name="BExMB3EAYJYAILKVVTPV073E9LPF" hidden="1">#REF!</definedName>
    <definedName name="BExMB4QRS0R3MTB4CMUHFZ84LNZQ" hidden="1">#REF!</definedName>
    <definedName name="BExMBC35WKQY5CWQJLV4D05O6971" hidden="1">#REF!</definedName>
    <definedName name="BExMBFTZV4Q1A5KG25C1N9PHQNSW" hidden="1">#REF!</definedName>
    <definedName name="BExMBK6ISK3U7KHZKUJXIDKGF6VW" hidden="1">#REF!</definedName>
    <definedName name="BExMBYPQDG9AYDQ5E8IECVFREPO6" hidden="1">[27]Balance_sheet!#REF!</definedName>
    <definedName name="BExMC8AZUTX8LG89K2JJR7ZG62XX" hidden="1">#REF!</definedName>
    <definedName name="BExMCA96YR10V72G2R0SCIKPZLIZ" hidden="1">#REF!</definedName>
    <definedName name="BExMCB5JU5I2VQDUBS4O42BTEVKI" hidden="1">#REF!</definedName>
    <definedName name="BExMCFSQFSEMPY5IXDIRKZDASDBR" hidden="1">#REF!</definedName>
    <definedName name="BExMCL6XHPEOI67XUMW2YGFN7ME4" hidden="1">#REF!</definedName>
    <definedName name="BExMCMZOEYWVOOJ98TBHTTCS7XB8" hidden="1">#REF!</definedName>
    <definedName name="BExMCS8EF2W3FS9QADNKREYSI8P0" hidden="1">#REF!</definedName>
    <definedName name="BExMCUS7GSOM96J0HJ7EH0FFM2AC" hidden="1">#REF!</definedName>
    <definedName name="BExMCYTT6TVDWMJXO1NZANRTVNAN" hidden="1">#REF!</definedName>
    <definedName name="BExMD5F6IAV108XYJLXUO9HD0IT6" hidden="1">#REF!</definedName>
    <definedName name="BExMDANV66W9T3XAXID40XFJ0J93" hidden="1">#REF!</definedName>
    <definedName name="BExMDGD1KQP7NNR78X2ZX4FCBQ1S" hidden="1">#REF!</definedName>
    <definedName name="BExMDIRDK0DI8P86HB7WPH8QWLSQ" hidden="1">#REF!</definedName>
    <definedName name="BExMDPI2FVMORSWDDCVAJ85WYAYO" hidden="1">#REF!</definedName>
    <definedName name="BExMDUWB7VWHFFR266QXO46BNV2S" hidden="1">#REF!</definedName>
    <definedName name="BExME2U47N8LZG0BPJ49ANY5QVV2" hidden="1">#REF!</definedName>
    <definedName name="BExME88DH5DUKMUFI9FNVECXFD2E" hidden="1">#REF!</definedName>
    <definedName name="BExME9A7MOGAK7YTTQYXP5DL6VYA" hidden="1">#REF!</definedName>
    <definedName name="BExMEAHD3040TSAOT2GKLFW6BZZ7" hidden="1">#REF!</definedName>
    <definedName name="BExMEOV9YFRY5C3GDLU60GIX10BY" hidden="1">#REF!</definedName>
    <definedName name="BExMEY09ESM4H2YGKEQQRYUD114R" hidden="1">#REF!</definedName>
    <definedName name="BExMF4G4IUPQY1Y5GEY5N3E04CL6" hidden="1">#REF!</definedName>
    <definedName name="BExMF9UIGYMOAQK0ELUWP0S0HZZY" hidden="1">#REF!</definedName>
    <definedName name="BExMFDLBSWFMRDYJ2DZETI3EXKN2" hidden="1">#REF!</definedName>
    <definedName name="BExMFLDTMRTCHKA37LQW67BG8D5C" hidden="1">#REF!</definedName>
    <definedName name="BExMG9NSK30KD01QX0UBN2VNRTG4" hidden="1">#REF!</definedName>
    <definedName name="BExMGG3PFIHPHX7NXB7HDFI3N12L" hidden="1">#REF!</definedName>
    <definedName name="BExMGR6YDK9UWDY45SH2FUQDZVO1" hidden="1">#REF!</definedName>
    <definedName name="BExMH3H9TW5TJCNU5Z1EWXP3BAEP" hidden="1">#REF!</definedName>
    <definedName name="BExMHORC10YWP28ID5J3N2UYLT2J" hidden="1">#REF!</definedName>
    <definedName name="BExMHOWPB34KPZ76M2KIX2C9R2VB" hidden="1">#REF!</definedName>
    <definedName name="BExMHSSYC6KVHA3QDTSYPN92TWMI" hidden="1">#REF!</definedName>
    <definedName name="BExMI0WA793SF41LQ40A28U8OXQY" hidden="1">#REF!</definedName>
    <definedName name="BExMI3AJ9477KDL4T9DHET4LJJTW" hidden="1">#REF!</definedName>
    <definedName name="BExMI6L9KX05GAK523JFKICJMTA5" hidden="1">#REF!</definedName>
    <definedName name="BExMI6QQ20XHD0NWJUN741B37182" hidden="1">#REF!</definedName>
    <definedName name="BExMI8JB94SBD9EMNJEK7Y2T6GYU" hidden="1">#REF!</definedName>
    <definedName name="BExMI8OS85YTW3KYVE4YD0R7Z6UV" hidden="1">#REF!</definedName>
    <definedName name="BExMIBOOZU40JS3F89OMPSRCE9MM" hidden="1">#REF!</definedName>
    <definedName name="BExMIIQ5MBWSIHTFWAQADXMZC22Q" hidden="1">#REF!</definedName>
    <definedName name="BExMIL4I2GE866I25CR5JBLJWJ6A" hidden="1">#REF!</definedName>
    <definedName name="BExMIRKIPF27SNO82SPFSB3T5U17" hidden="1">#REF!</definedName>
    <definedName name="BExMIV0KC8555D5E42ZGWG15Y0MO" hidden="1">#REF!</definedName>
    <definedName name="BExMIZT6AN7E6YMW2S87CTCN2UXH" hidden="1">#REF!</definedName>
    <definedName name="BExMJ15T9F3475M0896SG60TN0SR" hidden="1">#REF!</definedName>
    <definedName name="BExMJBHZ0TPDFILGTHUOLZUZK4W6" hidden="1">#REF!</definedName>
    <definedName name="BExMJNC8ZFB9DRFOJ961ZAJ8U3A8" hidden="1">#REF!</definedName>
    <definedName name="BExMJTBV8A3D31W2IQHP9RDFPPHQ" hidden="1">#REF!</definedName>
    <definedName name="BExMK2RTXN4QJWEUNX002XK8VQP8" hidden="1">#REF!</definedName>
    <definedName name="BExMKBGQDUZ8AWXYHA3QVMSDVZ3D" hidden="1">#REF!</definedName>
    <definedName name="BExMKBM1467553LDFZRRKVSHN374" hidden="1">#REF!</definedName>
    <definedName name="BExMKGK5FJUC0AU8MABRGDC5ZM70" hidden="1">#REF!</definedName>
    <definedName name="BExMKR1RQ78C8AN3WN9V5FJJ3S8B" hidden="1">#REF!</definedName>
    <definedName name="BExMKTW7R5SOV4PHAFGHU3W73DYE" hidden="1">#REF!</definedName>
    <definedName name="BExMKU7051J2W1RQXGZGE62NBRUZ" hidden="1">#REF!</definedName>
    <definedName name="BExMKUN3WPECJR2XRID2R7GZRGNX" hidden="1">#REF!</definedName>
    <definedName name="BExMKZ535P011X4TNV16GCOH4H21" hidden="1">#REF!</definedName>
    <definedName name="BExML3XQNDIMX55ZCHHXKUV3D6E6" hidden="1">#REF!</definedName>
    <definedName name="BExML5QGSWHLI18BGY4CGOTD3UWH" hidden="1">#REF!</definedName>
    <definedName name="BExMLO5Z61RE85X8HHX2G4IU3AZW" hidden="1">#REF!</definedName>
    <definedName name="BExMLVI7UORSHM9FMO8S2EI0TMTS" hidden="1">#REF!</definedName>
    <definedName name="BExMM5UCOT2HSSN0ZIPZW55GSOVO" hidden="1">#REF!</definedName>
    <definedName name="BExMM8ZRS5RQ8H1H55RVPVTDL5NL" hidden="1">#REF!</definedName>
    <definedName name="BExMMH8EAZB09XXQ5X4LR0P4NHG9" hidden="1">#REF!</definedName>
    <definedName name="BExMMIQH5BABNZVCIQ7TBCQ10AY5" hidden="1">#REF!</definedName>
    <definedName name="BExMMNIZ2T7M22WECMUQXEF4NJ71" hidden="1">#REF!</definedName>
    <definedName name="BExMMPMIOU7BURTV0L1K6ACW9X73" hidden="1">#REF!</definedName>
    <definedName name="BExMMQ835AJDHS4B419SS645P67Q" hidden="1">#REF!</definedName>
    <definedName name="BExMMQIUVPCOBISTEJJYNCCLUCPY" hidden="1">#REF!</definedName>
    <definedName name="BExMMTIXETA5VAKBSOFDD5SRU887" hidden="1">#REF!</definedName>
    <definedName name="BExMMV0P6P5YS3C35G0JYYHI7992" hidden="1">#REF!</definedName>
    <definedName name="BExMMXKIV8T7I9H1JB223T70I74X" hidden="1">#REF!</definedName>
    <definedName name="BExMNDR4V2VG5RFZDGTAGD3Q9PPG" hidden="1">#REF!</definedName>
    <definedName name="BExMNJLFWZBRN9PZF1IO9CYWV1B2" hidden="1">#REF!</definedName>
    <definedName name="BExMNKCJ0FA57YEUUAJE43U1QN5P" hidden="1">#REF!</definedName>
    <definedName name="BExMNKN5D1WEF2OOJVP6LZ6DLU3Y" hidden="1">#REF!</definedName>
    <definedName name="BExMNR38HMPLWAJRQ9MMS3ZAZ9IU" hidden="1">#REF!</definedName>
    <definedName name="BExMNRDZULKJMVY2VKIIRM2M5A1M" hidden="1">#REF!</definedName>
    <definedName name="BExMNRZLTGNWDOLJLQQE9Z3KXSYY" hidden="1">#REF!</definedName>
    <definedName name="BExMNXTWRY7GXXW4LR9CM9BLHTFE" hidden="1">#REF!</definedName>
    <definedName name="BExMO9IOWKTWHO8LQJJQI5P3INWY" hidden="1">#REF!</definedName>
    <definedName name="BExMOI29DOEK5R1A5QZPUDKF7N6T" hidden="1">#REF!</definedName>
    <definedName name="BExMOSJX33VVBLXJYLGVAM6X7RLU" hidden="1">#REF!</definedName>
    <definedName name="BExMP6MZSNFYRKE5LZ5FUYIVMYQ6" hidden="1">#REF!</definedName>
    <definedName name="BExMPAJ5AJAXGKGK3F6H3ODS6RF4" hidden="1">#REF!</definedName>
    <definedName name="BExMPD2X55FFBVJ6CBUKNPROIOEU" hidden="1">#REF!</definedName>
    <definedName name="BExMPGZ848E38FUH1JBQN97DGWAT" hidden="1">#REF!</definedName>
    <definedName name="BExMPMTICOSMQENOFKQ18K0ZT4S8" hidden="1">#REF!</definedName>
    <definedName name="BExMPMZ07II0R4KGWQQ7PGS3RZS4" hidden="1">#REF!</definedName>
    <definedName name="BExMPOBH04JMDO6Z8DMSEJZM4ANN" hidden="1">#REF!</definedName>
    <definedName name="BExMPSD77XQ3HA6A4FZOJK8G2JP3" hidden="1">#REF!</definedName>
    <definedName name="BExMQ4I3Q7F0BMPHSFMFW9TZ87UD" hidden="1">#REF!</definedName>
    <definedName name="BExMQ4SWDWI4N16AZ0T5CJ6HH8WC" hidden="1">#REF!</definedName>
    <definedName name="BExMQ71WHW50GVX45JU951AGPLFQ" hidden="1">#REF!</definedName>
    <definedName name="BExMQGXSLPT4A6N47LE6FBVHWBOF" hidden="1">#REF!</definedName>
    <definedName name="BExMQSBR7PL4KLB1Q4961QO45Y4G" hidden="1">#REF!</definedName>
    <definedName name="BExMR1MA4I1X77714ZEPUVC8W398" hidden="1">#REF!</definedName>
    <definedName name="BExMR8YQHA7N77HGHY4Y6R30I3XT" hidden="1">#REF!</definedName>
    <definedName name="BExMRENOIARWRYOIVPDIEBVNRDO7" hidden="1">#REF!</definedName>
    <definedName name="BExMRQHUEHGF2FS4LCB0THFELGDI" hidden="1">#REF!</definedName>
    <definedName name="BExMRRJNUMGRSDD5GGKKGEIZ6FTS" hidden="1">#REF!</definedName>
    <definedName name="BExMRU3ACIU0RD2BNWO55LH5U2BR" hidden="1">#REF!</definedName>
    <definedName name="BExMSQRCC40AP8BDUPL2I2DNC210" hidden="1">#REF!</definedName>
    <definedName name="BExO4J9LR712G00TVA82VNTG8O7H" hidden="1">#REF!</definedName>
    <definedName name="BExO52QXFSAO3ZVYXV5EQYQ7LILA" hidden="1">#REF!</definedName>
    <definedName name="BExO55G2KVZ7MIJ30N827CLH0I2A" hidden="1">#REF!</definedName>
    <definedName name="BExO5A8PZD9EUHC5CMPU6N3SQ15L" hidden="1">#REF!</definedName>
    <definedName name="BExO5XMAHL7CY3X0B1OPKZ28DCJ5" hidden="1">#REF!</definedName>
    <definedName name="BExO5Y7VU1Q13ER0DVFI5VGBLZ74" hidden="1">#REF!</definedName>
    <definedName name="BExO66LZJKY4PTQVREELI6POS4AY" hidden="1">#REF!</definedName>
    <definedName name="BExO67IC1JJ00X4A5LJHM0WQ6J5W" hidden="1">#REF!</definedName>
    <definedName name="BExO69WNJQOVJC6SVC4DFBOOFL4P" hidden="1">#REF!</definedName>
    <definedName name="BExO6LLHCYTF7CIVHKAO0NMET14Q" hidden="1">#REF!</definedName>
    <definedName name="BExO7OUQS3XTUQ2LDKGQ8AAQ3OJJ" hidden="1">#REF!</definedName>
    <definedName name="BExO7RUSODZC2NQZMT2AFSMV2ONF" hidden="1">#REF!</definedName>
    <definedName name="BExO85HMYXZJ7SONWBKKIAXMCI3C" hidden="1">#REF!</definedName>
    <definedName name="BExO863922O4PBGQMUNEQKGN3K96" hidden="1">#REF!</definedName>
    <definedName name="BExO89ZIOXN0HOKHY24F7HDZ87UT" hidden="1">#REF!</definedName>
    <definedName name="BExO8CDTBCABLEUD6PE2UM2EZ6C4" hidden="1">#REF!</definedName>
    <definedName name="BExO8IZ05ZG0XVOL3W41KBQE176A" hidden="1">#REF!</definedName>
    <definedName name="BExO8UTAGQWDBQZEEF4HUNMLQCVU" hidden="1">#REF!</definedName>
    <definedName name="BExO937E20IHMGQOZMECL3VZC7OX" hidden="1">#REF!</definedName>
    <definedName name="BExO94UTJKQQ7TJTTJRTSR70YVJC" hidden="1">#REF!</definedName>
    <definedName name="BExO9J3A438976RXIUX5U9SU5T55" hidden="1">#REF!</definedName>
    <definedName name="BExO9PDTJP5TWIEFAMZJTFUBVUSW" hidden="1">#REF!</definedName>
    <definedName name="BExO9RS5RXFJ1911HL3CCK6M74EP" hidden="1">#REF!</definedName>
    <definedName name="BExO9S8828ZZJ819F2EU4ANRKLEI" hidden="1">#REF!</definedName>
    <definedName name="BExO9SDRI1M6KMHXSG3AE5L0F2U3" hidden="1">#REF!</definedName>
    <definedName name="BExO9V2U2YXAY904GYYGU6TD8Y7M" hidden="1">#REF!</definedName>
    <definedName name="BExOAQ3GKCT7YZW1EMVU3EILSZL2" hidden="1">#REF!</definedName>
    <definedName name="BExOB9KT2THGV4SPLDVFTFXS4B14" hidden="1">#REF!</definedName>
    <definedName name="BExOBEZ0IE2WBEYY3D3CMRI72N1K" hidden="1">#REF!</definedName>
    <definedName name="BExOBIPU8760ITY0C8N27XZ3KWEF" hidden="1">#REF!</definedName>
    <definedName name="BExOBM0I5L0MZ1G4H9MGMD87SBMZ" hidden="1">#REF!</definedName>
    <definedName name="BExOBOUXMP88KJY2BX2JLUJH5N0K" hidden="1">#REF!</definedName>
    <definedName name="BExOBP0FKQ4SVR59FB48UNLKCOR6" hidden="1">#REF!</definedName>
    <definedName name="BExOBYAVUCQ0IGM0Y6A75QHP0Q1A" hidden="1">#REF!</definedName>
    <definedName name="BExOC3UEHB1CZNINSQHZANWJYKR8" hidden="1">#REF!</definedName>
    <definedName name="BExOCBSF3XGO9YJ23LX2H78VOUR7" hidden="1">#REF!</definedName>
    <definedName name="BExOCKXFMOW6WPFEVX1I7R7FNDSS" hidden="1">#REF!</definedName>
    <definedName name="BExOCYEXOB95DH5NOB0M5NOYX398" hidden="1">#REF!</definedName>
    <definedName name="BExOD4ERMDMFD8X1016N4EXOUR0S" hidden="1">#REF!</definedName>
    <definedName name="BExOD55RS7BQUHRQ6H3USVGKR0P7" hidden="1">#REF!</definedName>
    <definedName name="BExODEWDDEABM4ZY3XREJIBZ8IVP" hidden="1">#REF!</definedName>
    <definedName name="BExODNLAA1L7WQ9ZQX6A1ZOXK9VR" hidden="1">#REF!</definedName>
    <definedName name="BExODZFEIWV26E8RFU7XQYX1J458" hidden="1">#REF!</definedName>
    <definedName name="BExOEBKG55EROA2VL360A06LKASE" hidden="1">#REF!</definedName>
    <definedName name="BExOERAT7NBOYIJ5YEIC3G4KH0DS" hidden="1">#REF!</definedName>
    <definedName name="BExOERG5LWXYYEN1DY1H2FWRJS9T" hidden="1">#REF!</definedName>
    <definedName name="BExOEV1S6JJVO5PP4BZ20SNGZR7D" hidden="1">#REF!</definedName>
    <definedName name="BExOFEDNCYI2TPTMQ8SJN3AW4YMF" hidden="1">#REF!</definedName>
    <definedName name="BExOFVLXVD6RVHSQO8KZOOACSV24" hidden="1">#REF!</definedName>
    <definedName name="BExOG2SW3XOGP9VAPQ3THV3VWV12" hidden="1">#REF!</definedName>
    <definedName name="BExOG45J81K4OPA40KW5VQU54KY3" hidden="1">#REF!</definedName>
    <definedName name="BExOG8CFC84YRMYX1B2AV8ZMRDUB" hidden="1">#REF!</definedName>
    <definedName name="BExOGFE2SCL8HHT4DFAXKLUTJZOG" hidden="1">#REF!</definedName>
    <definedName name="BExOGT6D0LJ3C22RDW8COECKB1J5" hidden="1">#REF!</definedName>
    <definedName name="BExOGTMI1HT31M1RGWVRAVHAK7DE" hidden="1">#REF!</definedName>
    <definedName name="BExOGXO9JE5XSE9GC3I6O21UEKAO" hidden="1">#REF!</definedName>
    <definedName name="BExOH9ICZ13C1LAW8OTYTR9S7ZP3" hidden="1">#REF!</definedName>
    <definedName name="BExOHJP76GTV3ZV80EVDDKU4CBF5" hidden="1">#REF!</definedName>
    <definedName name="BExOHL75H3OT4WAKKPUXIVXWFVDS" hidden="1">#REF!</definedName>
    <definedName name="BExOHLHXXJL6363CC082M9M5VVXQ" hidden="1">#REF!</definedName>
    <definedName name="BExOHNAO5UDXSO73BK2ARHWKS90Y" hidden="1">#REF!</definedName>
    <definedName name="BExOHR1G1I9A9CI1HG94EWBLWNM2" hidden="1">#REF!</definedName>
    <definedName name="BExOHTQPP8LQ98L6PYUI6QW08YID" hidden="1">#REF!</definedName>
    <definedName name="BExOHX6Q6NJI793PGX59O5EKTP4G" hidden="1">#REF!</definedName>
    <definedName name="BExOI5VMTHH7Y8MQQ1N635CHYI0P" hidden="1">#REF!</definedName>
    <definedName name="BExOI9BN131KUF12ZUYUL9ZA93N5" hidden="1">#REF!</definedName>
    <definedName name="BExOIEVCP4Y6VDS23AK84MCYYHRT" hidden="1">#REF!</definedName>
    <definedName name="BExOIHPQIXR0NDR5WD01BZKPKEO3" hidden="1">#REF!</definedName>
    <definedName name="BExOIM7L0Z3LSII9P7ZTV4KJ8RMA" hidden="1">#REF!</definedName>
    <definedName name="BExOIWJVMJ6MG6JC4SPD1L00OHU1" hidden="1">#REF!</definedName>
    <definedName name="BExOIYCN8Z4JK3OOG86KYUCV0ME8" hidden="1">#REF!</definedName>
    <definedName name="BExOJ3AKZ9BCBZT3KD8WMSLK6MN2" hidden="1">#REF!</definedName>
    <definedName name="BExOJ7XQK71I4YZDD29AKOOWZ47E" hidden="1">#REF!</definedName>
    <definedName name="BExOJM0W6XGSW5MXPTTX0GNF6SFT" hidden="1">#REF!</definedName>
    <definedName name="BExOJXEUJJ9SYRJXKYYV2NCCDT2R" hidden="1">#REF!</definedName>
    <definedName name="BExOK03ZTYYZO9Y1LC0MNUHE6KP4" hidden="1">#REF!</definedName>
    <definedName name="BExOK0EQYM9JUMAGWOUN7QDH7VMZ" hidden="1">#REF!</definedName>
    <definedName name="BExOK4WM9O7QNG6O57FOASI5QSN1" hidden="1">#REF!</definedName>
    <definedName name="BExOKKHOPWUVRJGQJ5ONR2U40JX8" hidden="1">#REF!</definedName>
    <definedName name="BExOKTXMJP351VXKH8VT6SXUNIMF" hidden="1">#REF!</definedName>
    <definedName name="BExOKU8GMLOCNVORDE329819XN67" hidden="1">#REF!</definedName>
    <definedName name="BExOL0Z3Z7IAMHPB91EO2MF49U57" hidden="1">#REF!</definedName>
    <definedName name="BExOL7KH12VAR0LG741SIOJTLWFD" hidden="1">#REF!</definedName>
    <definedName name="BExOLICXFHJLILCJVFMJE5MGGWKR" hidden="1">#REF!</definedName>
    <definedName name="BExOLOI0WJS3QC12I3ISL0D9AWOF" hidden="1">#REF!</definedName>
    <definedName name="BExOLYZNG5RBD0BTS1OEZJNU92Q5" hidden="1">#REF!</definedName>
    <definedName name="BExOM3HIJ3UZPOKJI68KPBJAHPDC" hidden="1">#REF!</definedName>
    <definedName name="BExOMKPURE33YQ3K1JG9NVQD4W49" hidden="1">#REF!</definedName>
    <definedName name="BExOMP7NGCLUNFK50QD2LPKRG078" hidden="1">#REF!</definedName>
    <definedName name="BExOMU0A6XMY48SZRYL4WQZD13BI" hidden="1">#REF!</definedName>
    <definedName name="BExOMVT0HSNC59DJP4CLISASGHKL" hidden="1">#REF!</definedName>
    <definedName name="BExON0AX35F2SI0UCVMGWGVIUNI3" hidden="1">#REF!</definedName>
    <definedName name="BExON41U4296DV3DPG6I5EF3OEYF" hidden="1">#REF!</definedName>
    <definedName name="BExONB3A7CO4YD8RB41PHC93BQ9M" hidden="1">#REF!</definedName>
    <definedName name="BExONFQH6UUXF8V0GI4BRIST9RFO" hidden="1">#REF!</definedName>
    <definedName name="BExONIL31DZWU7IFVN3VV0XTXJA1" hidden="1">#REF!</definedName>
    <definedName name="BExONJ1BU17R0F5A2UP1UGJBOGKS" hidden="1">#REF!</definedName>
    <definedName name="BExONNZ9VMHVX3J6NLNJY7KZA61O" hidden="1">#REF!</definedName>
    <definedName name="BExONRQ1BAA4F3TXP2MYQ4YCZ09S" hidden="1">#REF!</definedName>
    <definedName name="BExOO1WWIZSGB0YTGKESB45TSVMZ" hidden="1">#REF!</definedName>
    <definedName name="BExOO4B8FPAFYPHCTYTX37P1TQM5" hidden="1">#REF!</definedName>
    <definedName name="BExOOIULUDOJRMYABWV5CCL906X6" hidden="1">#REF!</definedName>
    <definedName name="BExOOTN0KTXJCL7E476XBN1CJ553" hidden="1">#REF!</definedName>
    <definedName name="BExOP9DEBV5W5P4Q25J3XCJBP5S9" hidden="1">#REF!</definedName>
    <definedName name="BExOP9O707AH99GQOPCWFB1QZX24" hidden="1">#REF!</definedName>
    <definedName name="BExOPFNYRBL0BFM23LZBJTADNOE4" hidden="1">#REF!</definedName>
    <definedName name="BExOPINVFSIZMCVT9YGT2AODVCX3" hidden="1">#REF!</definedName>
    <definedName name="BExOQ1JN4SAC44RTMZIGHSW023WA" hidden="1">#REF!</definedName>
    <definedName name="BExOQ256YMF115DJL3KBPNKABJ90" hidden="1">#REF!</definedName>
    <definedName name="BExQ19DEUOLC11IW32E2AMVZLFF1" hidden="1">#REF!</definedName>
    <definedName name="BExQ1FD6KISGYU1JWEQ4G243ZPVD" hidden="1">#REF!</definedName>
    <definedName name="BExQ29C73XR33S3668YYSYZAIHTG" hidden="1">#REF!</definedName>
    <definedName name="BExQ2FS228IUDUP2023RA1D4AO4C" hidden="1">#REF!</definedName>
    <definedName name="BExQ2L0XYWLY9VPZWXYYFRIRQRJ1" hidden="1">#REF!</definedName>
    <definedName name="BExQ2M841F5Z1BQYR8DG5FKK0LIU" hidden="1">#REF!</definedName>
    <definedName name="BExQ300G8I8TK45A0MVHV15422EU" hidden="1">#REF!</definedName>
    <definedName name="BExQ38JVI83SMZAP2925CR0M93J0" hidden="1">#REF!</definedName>
    <definedName name="BExQ39R28MXSG2SEV956F0KZ20AN" hidden="1">#REF!</definedName>
    <definedName name="BExQ3D1P3M5Z3HLMEZ17E0BLEE4U" hidden="1">#REF!</definedName>
    <definedName name="BExQ3GN6RQRK60X3K6LNYMRQU66L" hidden="1">#REF!</definedName>
    <definedName name="BExQ3O4W7QF8BOXTUT4IOGF6YKUD" hidden="1">#REF!</definedName>
    <definedName name="BExQ3PXOWSN8561ZR8IEY8ZASI3B" hidden="1">#REF!</definedName>
    <definedName name="BExQ3TZF04IPY0B0UG9CQQ5736UA" hidden="1">#REF!</definedName>
    <definedName name="BExQ42IU9MNDYLODP41DL6YTZMAR" hidden="1">#REF!</definedName>
    <definedName name="BExQ452HF7N1HYPXJXQ8WD6SOWUV" hidden="1">#REF!</definedName>
    <definedName name="BExQ48YW910H7XVKA1O1TSAHNQQQ" hidden="1">#REF!</definedName>
    <definedName name="BExQ499KBJ5W7A1G293A0K14EVQB" hidden="1">#REF!</definedName>
    <definedName name="BExQ4BTBSHPHVEDRCXC2ROW8PLFC" hidden="1">#REF!</definedName>
    <definedName name="BExQ4DGKF54SRKQUTUT4B1CZSS62" hidden="1">#REF!</definedName>
    <definedName name="BExQ4T74LQ5PYTV1MUQUW75A4BDY" hidden="1">#REF!</definedName>
    <definedName name="BExQ4XJHD7EJCNH7S1MJDZJ2MNWG" hidden="1">#REF!</definedName>
    <definedName name="BExQ5039ZCEWBUJHU682G4S89J03" hidden="1">#REF!</definedName>
    <definedName name="BExQ56Z9W6YHZHRXOFFI8EFA7CDI" hidden="1">#REF!</definedName>
    <definedName name="BExQ5FDJQE92BM305GDS6P512YH6" hidden="1">#REF!</definedName>
    <definedName name="BExQ5KX3Z668H1KUCKZ9J24HUQ1F" hidden="1">#REF!</definedName>
    <definedName name="BExQ5SPMSOCJYLAY20NB5A6O32RE" hidden="1">#REF!</definedName>
    <definedName name="BExQ5UICMGTMK790KTLK49MAGXRC" hidden="1">#REF!</definedName>
    <definedName name="BExQ5VEQEIJO7YY80OJTA3XRQYJ9" hidden="1">#REF!</definedName>
    <definedName name="BExQ5YUUK9FD0QGTY4WD0W90O7OL" hidden="1">#REF!</definedName>
    <definedName name="BExQ63793YQ9BH7JLCNRIATIGTRG" hidden="1">#REF!</definedName>
    <definedName name="BExQ6CN1EF2UPZ57ZYMGK8TUJQSS" hidden="1">#REF!</definedName>
    <definedName name="BExQ6M2YXJ8AMRJF3QGHC40ADAHZ" hidden="1">#REF!</definedName>
    <definedName name="BExQ6M8B0X44N9TV56ATUVHGDI00" hidden="1">#REF!</definedName>
    <definedName name="BExQ6POH065GV0I74XXVD0VUPBJW" hidden="1">#REF!</definedName>
    <definedName name="BExQ6V7ZC11JWWETTU4H3BX3RFUS" hidden="1">#REF!</definedName>
    <definedName name="BExQ6WV9KPSMXPPLGZ3KK4WNYTHU" hidden="1">#REF!</definedName>
    <definedName name="BExQ783XTMM2A9I3UKCFWJH1PP2N" hidden="1">#REF!</definedName>
    <definedName name="BExQ79LX01ZPQB8EGD1ZHR2VK2H3" hidden="1">#REF!</definedName>
    <definedName name="BExQ7B3V9MGDK2OIJ61XXFBFLJFZ" hidden="1">#REF!</definedName>
    <definedName name="BExQ7CB046NVPF9ZXDGA7OXOLSLX" hidden="1">#REF!</definedName>
    <definedName name="BExQ7IWDCGGOO1HTJ97YGO1CK3R9" hidden="1">#REF!</definedName>
    <definedName name="BExQ7JNFIEGS2HKNBALH3Q2N5G7Z" hidden="1">#REF!</definedName>
    <definedName name="BExQ7MY3U2Z1IZ71U5LJUD00VVB4" hidden="1">#REF!</definedName>
    <definedName name="BExQ7XL2Q1GVUFL1F9KK0K0EXMWG" hidden="1">#REF!</definedName>
    <definedName name="BExQ8469L3ZRZ3KYZPYMSJIDL7Y5" hidden="1">#REF!</definedName>
    <definedName name="BExQ84MJB94HL3BWRN50M4NCB6Z0" hidden="1">#REF!</definedName>
    <definedName name="BExQ8583ZE00NW7T9OF11OT9IA14" hidden="1">#REF!</definedName>
    <definedName name="BExQ8A0RPE3IMIFIZLUE7KD2N21W" hidden="1">#REF!</definedName>
    <definedName name="BExQ8ABK6H1ADV2R2OYT8NFFYG2N" hidden="1">#REF!</definedName>
    <definedName name="BExQ8DM90XJ6GCJIK9LC5O82I2TJ" hidden="1">#REF!</definedName>
    <definedName name="BExQ8G0K46ZORA0QVQTDI7Z8LXGF" hidden="1">#REF!</definedName>
    <definedName name="BExQ8O3WEU8HNTTGKTW5T0QSKCLP" hidden="1">#REF!</definedName>
    <definedName name="BExQ8ZCEDBOBJA3D9LDP5TU2WYGR" hidden="1">#REF!</definedName>
    <definedName name="BExQ94LAW6MAQBWY25WTBFV5PPZJ" hidden="1">#REF!</definedName>
    <definedName name="BExQ97QIPOSSRK978N8P234Y1XA4" hidden="1">#REF!</definedName>
    <definedName name="BExQ9E6FBAXTHGF3RXANFIA77GXP" hidden="1">#REF!</definedName>
    <definedName name="BExQ9F2YH4UUCCMQITJ475B3S3NP" hidden="1">#REF!</definedName>
    <definedName name="BExQ9KX9734KIAK7IMRLHCPYDHO2" hidden="1">#REF!</definedName>
    <definedName name="BExQ9L81FF4I7816VTPFBDWVU4CW" hidden="1">#REF!</definedName>
    <definedName name="BExQ9M4E2ACZOWWWP1JJIQO8AHUM" hidden="1">#REF!</definedName>
    <definedName name="BExQ9UD2EEDYOZSQQ48I8Y0I4ZRP" hidden="1">#REF!</definedName>
    <definedName name="BExQ9UTANMJCK7LJ4OQMD6F2Q01L" hidden="1">#REF!</definedName>
    <definedName name="BExQ9ZLYHWABXAA9NJDW8ZS0UQ9P" hidden="1">[27]Balance_sheet!#REF!</definedName>
    <definedName name="BExQA324HSCK40ENJUT9CS9EC71B" hidden="1">#REF!</definedName>
    <definedName name="BExQA55GY0STSNBWQCWN8E31ZXCS" hidden="1">#REF!</definedName>
    <definedName name="BExQA9HZIN9XEMHEEVHT99UU9Z82" hidden="1">#REF!</definedName>
    <definedName name="BExQAELFYH92K8CJL155181UDORO" hidden="1">#REF!</definedName>
    <definedName name="BExQAG8PP8R5NJKNQD1U4QOSD6X5" hidden="1">#REF!</definedName>
    <definedName name="BExQB89L9DTGPWKEW748XFJZRKMG" hidden="1">#REF!</definedName>
    <definedName name="BExQBDICMZTSA1X73TMHNO4JSFLN" hidden="1">#REF!</definedName>
    <definedName name="BExQBEER6CRCRPSSL61S0OMH57ZA" hidden="1">#REF!</definedName>
    <definedName name="BExQBIGGY5TXI2FJVVZSLZ0LTZYH" hidden="1">#REF!</definedName>
    <definedName name="BExQBLGCAETD71O1SUUPS14HYODO" hidden="1">#REF!</definedName>
    <definedName name="BExQBM1RUSIQ85LLMM2159BYDPIP" hidden="1">#REF!</definedName>
    <definedName name="BExQBPHXAEVIZ1L85DZ2TRHAP4E7" hidden="1">#REF!</definedName>
    <definedName name="BExQBPSOZ47V81YAEURP0NQJNTJH" hidden="1">#REF!</definedName>
    <definedName name="BExQC5TWT21CGBKD0IHAXTIN2QB8" hidden="1">#REF!</definedName>
    <definedName name="BExQC94JL9F5GW4S8DQCAF4WB2DA" hidden="1">#REF!</definedName>
    <definedName name="BExQCKTD8AT0824LGWREXM1B5D1X" hidden="1">#REF!</definedName>
    <definedName name="BExQD1GA2TH6L0ARJNQ3PRBCDAY8" hidden="1">#REF!</definedName>
    <definedName name="BExQD3ZWG8HP2DDSS4YAQ6BDYZFN" hidden="1">#REF!</definedName>
    <definedName name="BExQD571YWOXKR2SX85K5MKQ0AO2" hidden="1">#REF!</definedName>
    <definedName name="BExQDB6VCHN8PNX8EA6JNIEQ2JC2" hidden="1">#REF!</definedName>
    <definedName name="BExQDE1B6U2Q9B73KBENABP71YM1" hidden="1">#REF!</definedName>
    <definedName name="BExQDGQCN7ZW41QDUHOBJUGQAX40" hidden="1">#REF!</definedName>
    <definedName name="BExQEC7BRIJ30PTU3UPFOIP2HPE3" hidden="1">#REF!</definedName>
    <definedName name="BExQEMUA4HEFM4OVO8M8MA8PIAW1" hidden="1">#REF!</definedName>
    <definedName name="BExQEQ4XZQFIKUXNU9H7WE7AMZ1U" hidden="1">#REF!</definedName>
    <definedName name="BExQEX12KJQOTQFGOV2X7CQG13MP" hidden="1">#REF!</definedName>
    <definedName name="BExQEZFFUJM2CBQ5HKDXJ8TJBJUZ" hidden="1">#REF!</definedName>
    <definedName name="BExQF0MJXKX6E8DJ045P43EZNN79" hidden="1">#REF!</definedName>
    <definedName name="BExQF1OEB07CRAP6ALNNMJNJ3P2D" hidden="1">#REF!</definedName>
    <definedName name="BExQF4TM431IUF69NS5RHR75VIJT" hidden="1">#REF!</definedName>
    <definedName name="BExQF9X2AQPFJZTCHTU5PTTR0JAH" hidden="1">#REF!</definedName>
    <definedName name="BExQFC0M9KKFMQKPLPEO2RQDB7MM" hidden="1">#REF!</definedName>
    <definedName name="BExQFEEV7627R8TYZCM28C6V6WHE" hidden="1">#REF!</definedName>
    <definedName name="BExQFEK8NUD04X2OBRA275ADPSDL" hidden="1">#REF!</definedName>
    <definedName name="BExQFGYIWDR4W0YF7XR6E4EWWJ02" hidden="1">#REF!</definedName>
    <definedName name="BExQFPNFKA36IAPS22LAUMBDI4KE" hidden="1">#REF!</definedName>
    <definedName name="BExQFPSWEMA8WBUZ4WK20LR13VSU" hidden="1">#REF!</definedName>
    <definedName name="BExQFVSPOSCCPF1TLJPIWYWYB8A9" hidden="1">#REF!</definedName>
    <definedName name="BExQFWJQXNQAW6LUMOEDS6KMJMYL" hidden="1">#REF!</definedName>
    <definedName name="BExQG8TYRD2G42UA5ZPCRLNKUDMX" hidden="1">#REF!</definedName>
    <definedName name="BExQGO48J9MPCDQ96RBB9UN9AIGT" hidden="1">#REF!</definedName>
    <definedName name="BExQGSBB6MJWDW7AYWA0MSFTXKRR" hidden="1">#REF!</definedName>
    <definedName name="BExQH0UURAJ13AVO5UI04HSRGVYW" hidden="1">#REF!</definedName>
    <definedName name="BExQH6ZZY0NR8SE48PSI9D0CU1TC" hidden="1">#REF!</definedName>
    <definedName name="BExQH9P2MCXAJOVEO4GFQT6MNW22" hidden="1">#REF!</definedName>
    <definedName name="BExQHCZSBYUY8OKKJXFYWKBBM6AH" hidden="1">#REF!</definedName>
    <definedName name="BExQHPKXZ1K33V2F90NZIQRZYIAW" hidden="1">#REF!</definedName>
    <definedName name="BExQHVF9KD06AG2RXUQJ9X4PVGX4" hidden="1">#REF!</definedName>
    <definedName name="BExQHZBHVN2L4HC7ACTR73T5OCV0" hidden="1">#REF!</definedName>
    <definedName name="BExQI5GTMTM5JQVR7NPN2YU9X0B9" hidden="1">#REF!</definedName>
    <definedName name="BExQI85V9TNLDJT5LTRZS10Y26SG" hidden="1">#REF!</definedName>
    <definedName name="BExQIAPKHVEV8CU1L3TTHJW67FJ5" hidden="1">#REF!</definedName>
    <definedName name="BExQIBB4I3Z6AUU0HYV1DHRS13M4" hidden="1">#REF!</definedName>
    <definedName name="BExQIBWPAXU7HJZLKGJZY3EB7MIS" hidden="1">#REF!</definedName>
    <definedName name="BExQIS8O6R36CI01XRY9ISM99TW9" hidden="1">#REF!</definedName>
    <definedName name="BExQIVJB9MJ25NDUHTCVMSODJY2C" hidden="1">#REF!</definedName>
    <definedName name="BExQIWFQC6QY47BKVV9H2YNBHVFC" hidden="1">#REF!</definedName>
    <definedName name="BExQJBF7LAX128WR7VTMJC88ZLPG" hidden="1">#REF!</definedName>
    <definedName name="BExQJEVCKX6KZHNCLYXY7D0MX5KN" hidden="1">#REF!</definedName>
    <definedName name="BExQJJYSDX8B0J1QGF2HL071KKA3" hidden="1">#REF!</definedName>
    <definedName name="BExQK1HV6SQQ7CP8H8IUKI9TYXTD" hidden="1">#REF!</definedName>
    <definedName name="BExQK3LE5CSBW1E4H4KHW548FL2R" hidden="1">#REF!</definedName>
    <definedName name="BExQKG6LD6PLNDGNGO9DJXY865BR" hidden="1">#REF!</definedName>
    <definedName name="BExQLE1TOW3A287TQB0AVWENT8O1" hidden="1">#REF!</definedName>
    <definedName name="BExRYOYB4A3E5F6MTROY69LR0PMG" hidden="1">#REF!</definedName>
    <definedName name="BExRYZLA9EW71H4SXQR525S72LLP" hidden="1">#REF!</definedName>
    <definedName name="BExRZ66M8G9FQ0VFP077QSZBSOA5" hidden="1">#REF!</definedName>
    <definedName name="BExRZ8FMQQL46I8AQWU17LRNZD5T" hidden="1">#REF!</definedName>
    <definedName name="BExRZIRRIXRUMZ5GOO95S7460BMP" hidden="1">#REF!</definedName>
    <definedName name="BExRZK9RAHMM0ZLTNSK7A4LDC42D" hidden="1">#REF!</definedName>
    <definedName name="BExRZOGSR69INI6GAEPHDWSNK5Q4" hidden="1">#REF!</definedName>
    <definedName name="BExS0ASQBKRTPDWFK0KUDFOS9LE5" hidden="1">#REF!</definedName>
    <definedName name="BExS0GHQUF6YT0RU3TKDEO8CSJYB" hidden="1">#REF!</definedName>
    <definedName name="BExS0K8IHC45I78DMZBOJ1P13KQA" hidden="1">#REF!</definedName>
    <definedName name="BExS152B2LFCRAUHSLI5T6QRNII0" hidden="1">#REF!</definedName>
    <definedName name="BExS15IJV0WW662NXQUVT3FGP4ST" hidden="1">#REF!</definedName>
    <definedName name="BExS194110MR25BYJI3CJ2EGZ8XT" hidden="1">#REF!</definedName>
    <definedName name="BExS1BNVGNSGD4EP90QL8WXYWZ66" hidden="1">#REF!</definedName>
    <definedName name="BExS1UE39N6NCND7MAARSBWXS6HU" hidden="1">#REF!</definedName>
    <definedName name="BExS226HTWL5WVC76MP5A1IBI8WD" hidden="1">#REF!</definedName>
    <definedName name="BExS26OI2QNNAH2WMDD95Z400048" hidden="1">#REF!</definedName>
    <definedName name="BExS2DF6B4ZUF3VZLI4G6LJ3BF38" hidden="1">#REF!</definedName>
    <definedName name="BExS2QB5FS5LYTFYO4BROTWG3OV5" hidden="1">#REF!</definedName>
    <definedName name="BExS2TLU1HONYV6S3ZD9T12D7CIG" hidden="1">#REF!</definedName>
    <definedName name="BExS318UV9I2FXPQQWUKKX00QLPJ" hidden="1">#REF!</definedName>
    <definedName name="BExS3LBS0SMTHALVM4NRI1BAV1NP" hidden="1">#REF!</definedName>
    <definedName name="BExS3MTQ75VBXDGEBURP6YT8RROE" hidden="1">#REF!</definedName>
    <definedName name="BExS3OMGYO0DFN5186UFKEXZ2RX3" hidden="1">#REF!</definedName>
    <definedName name="BExS3SDERJ27OER67TIGOVZU13A2" hidden="1">#REF!</definedName>
    <definedName name="BExS46R5WDNU5KL04FKY5LHJUCB8" hidden="1">#REF!</definedName>
    <definedName name="BExS4ASWKM93XA275AXHYP8AG6SU" hidden="1">#REF!</definedName>
    <definedName name="BExS4IAN4IC5Q2UVJSWZ3UDYUFL1" hidden="1">#REF!</definedName>
    <definedName name="BExS4JN3Y6SVBKILQK0R9HS45Y52" hidden="1">#REF!</definedName>
    <definedName name="BExS4P6S41O6Z6BED77U3GD9PNH1" hidden="1">#REF!</definedName>
    <definedName name="BExS51H0N51UT0FZOPZRCF1GU063" hidden="1">#REF!</definedName>
    <definedName name="BExS54X72TJFC41FJK72MLRR2OO7" hidden="1">#REF!</definedName>
    <definedName name="BExS57X2SARZC08MIX6TKW8581Y0" hidden="1">#REF!</definedName>
    <definedName name="BExS59F0PA1V2ZC7S5TN6IT41SXP" hidden="1">#REF!</definedName>
    <definedName name="BExS5DRER9US6NXY9ATYT41KZII3" hidden="1">#REF!</definedName>
    <definedName name="BExS5L3TGB8JVW9ROYWTKYTUPW27" hidden="1">#REF!</definedName>
    <definedName name="BExS60OVEMOCGN35OLFWTYCAOSIT" hidden="1">#REF!</definedName>
    <definedName name="BExS6FDFHF1S4KAKL81FST1AIMLM" hidden="1">#REF!</definedName>
    <definedName name="BExS6GKQ96EHVLYWNJDWXZXUZW90" hidden="1">#REF!</definedName>
    <definedName name="BExS6ITKSZFRR01YD5B0F676SYN7" hidden="1">#REF!</definedName>
    <definedName name="BExS6JVFH2RZOWBVCUMZZ5GHB8HX" hidden="1">#REF!</definedName>
    <definedName name="BExS6N0LI574IAC89EFW6CLTCQ33" hidden="1">#REF!</definedName>
    <definedName name="BExS6WRDBF3ST86ZOBBUL3GTCR11" hidden="1">#REF!</definedName>
    <definedName name="BExS6XNRKR0C3MTA0LV5B60UB908" hidden="1">#REF!</definedName>
    <definedName name="BExS7TKQYLRZGM93UY3ZJZJBQNFJ" hidden="1">#REF!</definedName>
    <definedName name="BExS7Y2LNGVHSIBKC7C3R6X4LDR6" hidden="1">#REF!</definedName>
    <definedName name="BExS81TE0EY44Y3W2M4Z4MGNP5OM" hidden="1">#REF!</definedName>
    <definedName name="BExS81YPDZDVJJVS15HV2HDXAC3Y" hidden="1">#REF!</definedName>
    <definedName name="BExS82PRVNUTEKQZS56YT2DVF6C2" hidden="1">#REF!</definedName>
    <definedName name="BExS86GPKWBKLKOTJ1HDDP4PTD2D" hidden="1">#REF!</definedName>
    <definedName name="BExS8BPG5A0GR5AO1U951NDGGR0L" hidden="1">#REF!</definedName>
    <definedName name="BExS8GSUS17UY50TEM2AWF36BR9Z" hidden="1">#REF!</definedName>
    <definedName name="BExS8HJRBVG0XI6PWA9KTMJZMQXK" hidden="1">#REF!</definedName>
    <definedName name="BExS8R51C8RM2FS6V6IRTYO9GA4A" hidden="1">#REF!</definedName>
    <definedName name="BExS8WDX408F60MH1X9B9UZ2H4R7" hidden="1">#REF!</definedName>
    <definedName name="BExS8Z2W2QEC3MH0BZIYLDFQNUIP" hidden="1">#REF!</definedName>
    <definedName name="BExS92DKGRFFCIA9C0IXDOLO57EP" hidden="1">#REF!</definedName>
    <definedName name="BExS98OB4321YCHLCQ022PXKTT2W" hidden="1">#REF!</definedName>
    <definedName name="BExS9C9N8GFISC6HUERJ0EI06GB2" hidden="1">#REF!</definedName>
    <definedName name="BExS9DX13CACP3J8JDREK30JB1SQ" hidden="1">#REF!</definedName>
    <definedName name="BExS9FPRS2KRRCS33SE6WFNF5GYL" hidden="1">#REF!</definedName>
    <definedName name="BExS9WI0A6PSEB8N9GPXF2Z7MWHM" hidden="1">#REF!</definedName>
    <definedName name="BExSA5HP306TN9XJS0TU619DLRR7" hidden="1">#REF!</definedName>
    <definedName name="BExSAAVWQOOIA6B3JHQVGP08HFEM" hidden="1">#REF!</definedName>
    <definedName name="BExSAFJ3IICU2M7QPVE4ARYMXZKX" hidden="1">#REF!</definedName>
    <definedName name="BExSAH6ID8OHX379UXVNGFO8J6KQ" hidden="1">#REF!</definedName>
    <definedName name="BExSAQBHIXGQRNIRGCJMBXUPCZQA" hidden="1">#REF!</definedName>
    <definedName name="BExSAUTCT4P7JP57NOR9MTX33QJZ" hidden="1">#REF!</definedName>
    <definedName name="BExSAY9CA9TFXQ9M9FBJRGJO9T9E" hidden="1">#REF!</definedName>
    <definedName name="BExSB4JYKQ3MINI7RAYK5M8BLJDC" hidden="1">#REF!</definedName>
    <definedName name="BExSBMOS41ZRLWYLOU29V6Y7YORR" hidden="1">#REF!</definedName>
    <definedName name="BExSBRBXXQMBU1TYDW1BXTEVEPRU" hidden="1">#REF!</definedName>
    <definedName name="BExSC54998WTZ21DSL0R8UN0Y9JH" hidden="1">#REF!</definedName>
    <definedName name="BExSC60N7WR9PJSNC9B7ORCX9NGY" hidden="1">#REF!</definedName>
    <definedName name="BExSCE99EZTILTTCE4NJJF96OYYM" hidden="1">#REF!</definedName>
    <definedName name="BExSCHUQZ2HFEWS54X67DIS8OSXZ" hidden="1">#REF!</definedName>
    <definedName name="BExSCOG41SKKG4GYU76WRWW1CTE6" hidden="1">#REF!</definedName>
    <definedName name="BExSCVC9P86YVFMRKKUVRV29MZXZ" hidden="1">#REF!</definedName>
    <definedName name="BExSD233CH4MU9ZMGNRF97ZV7KWU" hidden="1">#REF!</definedName>
    <definedName name="BExSD2U0F3BN6IN9N4R2DTTJG15H" hidden="1">#REF!</definedName>
    <definedName name="BExSD6A6NY15YSMFH51ST6XJY429" hidden="1">#REF!</definedName>
    <definedName name="BExSD9VH6PF6RQ135VOEE08YXPAW" hidden="1">#REF!</definedName>
    <definedName name="BExSDP5Y04WWMX2WWRITWOX8R5I9" hidden="1">#REF!</definedName>
    <definedName name="BExSDSGM203BJTNS9MKCBX453HMD" hidden="1">#REF!</definedName>
    <definedName name="BExSDT20XUFXTDM37M148AXAP7HN" hidden="1">#REF!</definedName>
    <definedName name="BExSEEHK1VLWD7JBV9SVVVIKQZ3I" hidden="1">#REF!</definedName>
    <definedName name="BExSEJKZLX37P3V33TRTFJ30BFRK" hidden="1">#REF!</definedName>
    <definedName name="BExSEP9UVOAI6TMXKNK587PQ3328" hidden="1">#REF!</definedName>
    <definedName name="BExSERZ34ETZF8OI93MYIVZX4RDV" hidden="1">#REF!</definedName>
    <definedName name="BExSEU7YCBV8RRMPOHO700I4QMM3" hidden="1">#REF!</definedName>
    <definedName name="BExSF07QFLZCO4P6K6QF05XG7PH1" hidden="1">#REF!</definedName>
    <definedName name="BExSF7EONBR3KRGD9RICRKD3DQWX" hidden="1">#REF!</definedName>
    <definedName name="BExSFELNPJYUZX393PKWKNNZYV1N" hidden="1">#REF!</definedName>
    <definedName name="BExSFJ8ZAGQ63A4MVMZRQWLVRGQ5" hidden="1">#REF!</definedName>
    <definedName name="BExSFKQRST2S9KXWWLCXYLKSF4G1" hidden="1">#REF!</definedName>
    <definedName name="BExSFYDRRTAZVPXRWUF5PDQ97WFF" hidden="1">#REF!</definedName>
    <definedName name="BExSFZVPFTXA3F0IJ2NGH1GXX9R7" hidden="1">#REF!</definedName>
    <definedName name="BExSG90Q4ZUU2IPGDYOM169NJV9S" hidden="1">#REF!</definedName>
    <definedName name="BExSG9X3DU845PNXYJGGLBQY2UHG" hidden="1">#REF!</definedName>
    <definedName name="BExSGE45J27MDUUNXW7Z8Q33UAON" hidden="1">#REF!</definedName>
    <definedName name="BExSGE9LY91Q0URHB4YAMX0UAMYI" hidden="1">#REF!</definedName>
    <definedName name="BExSGLB2URTLBCKBB4Y885W925F2" hidden="1">#REF!</definedName>
    <definedName name="BExSGOAYG73SFWOPAQV80P710GID" hidden="1">#REF!</definedName>
    <definedName name="BExSGOWJHRW7FWKLO2EHUOOGHNAF" hidden="1">#REF!</definedName>
    <definedName name="BExSGOWJTAP41ZV5Q23H7MI9C76W" hidden="1">#REF!</definedName>
    <definedName name="BExSGR5JQVX2HQ0PKCGZNSSUM1RV" hidden="1">#REF!</definedName>
    <definedName name="BExSGVHX69GJZHD99DKE4RZ042B1" hidden="1">#REF!</definedName>
    <definedName name="BExSGXW95YJ2F0JGIVXIOO4MIEM6" hidden="1">#REF!</definedName>
    <definedName name="BExSGZJO4J4ZO04E2N2ECVYS9DEZ" hidden="1">#REF!</definedName>
    <definedName name="BExSHAHFHS7MMNJR8JPVABRGBVIT" hidden="1">#REF!</definedName>
    <definedName name="BExSHGH88QZWW4RNAX4YKAZ5JEBL" hidden="1">#REF!</definedName>
    <definedName name="BExSHOKK1OO3CX9Z28C58E5J1D9W" hidden="1">#REF!</definedName>
    <definedName name="BExSHQD8KYLTQGDXIRKCHQQ7MKIH" hidden="1">#REF!</definedName>
    <definedName name="BExSHVGPIAHXI97UBLI9G4I4M29F" hidden="1">#REF!</definedName>
    <definedName name="BExSI0K2YL3HTCQAD8A7TR4QCUR6" hidden="1">#REF!</definedName>
    <definedName name="BExSIFUDNRWXWIWNGCCFOOD8WIAZ" hidden="1">#REF!</definedName>
    <definedName name="BExTTWD2PGX3Y9FR5F2MRNLY1DIY" hidden="1">#REF!</definedName>
    <definedName name="BExTTZNS2PBCR93C9IUW49UZ4I6T" hidden="1">#REF!</definedName>
    <definedName name="BExTU2YFQ25JQ6MEMRHHN66VLTPJ" hidden="1">#REF!</definedName>
    <definedName name="BExTU75IOII1V5O0C9X2VAYYVJUG" hidden="1">#REF!</definedName>
    <definedName name="BExTUA5F7V4LUIIAM17J3A8XF3JE" hidden="1">#REF!</definedName>
    <definedName name="BExTUJ53ANGZ3H1KDK4CR4Q0OD6P" hidden="1">#REF!</definedName>
    <definedName name="BExTUKXSZBM7C57G6NGLWGU4WOHY" hidden="1">#REF!</definedName>
    <definedName name="BExTUM4YDXTNHE9Q6MPU51ZL73TV" hidden="1">#REF!</definedName>
    <definedName name="BExTUSQCFFYZCDNHWHADBC2E1ZP1" hidden="1">#REF!</definedName>
    <definedName name="BExTUVFGOJEYS28JURA5KHQFDU5J" hidden="1">#REF!</definedName>
    <definedName name="BExTUW10U40QCYGHM5NJ3YR1O5SP" hidden="1">#REF!</definedName>
    <definedName name="BExTUWXFQHINU66YG82BI20ATMB5" hidden="1">#REF!</definedName>
    <definedName name="BExTUY9WNSJ91GV8CP0SKJTEIV82" hidden="1">[27]Balance_sheet!#REF!</definedName>
    <definedName name="BExTV67VIM8PV6KO253M4DUBJQLC" hidden="1">#REF!</definedName>
    <definedName name="BExTVELZCF2YA5L6F23BYZZR6WHF" hidden="1">#REF!</definedName>
    <definedName name="BExTVGPIQZ99YFXUC8OONUX5BD42" hidden="1">#REF!</definedName>
    <definedName name="BExTVZQLP9VFLEYQ9280W13X7E8K" hidden="1">#REF!</definedName>
    <definedName name="BExTWB4LA1PODQOH4LDTHQKBN16K" hidden="1">#REF!</definedName>
    <definedName name="BExTWI0Q8AWXUA3ZN7I5V3QK2KM1" hidden="1">#REF!</definedName>
    <definedName name="BExTWJTIA3WUW1PUWXAOP9O8NKLZ" hidden="1">#REF!</definedName>
    <definedName name="BExTWW95OX07FNA01WF5MSSSFQLX" hidden="1">#REF!</definedName>
    <definedName name="BExTX476KI0RNB71XI5TYMANSGBG" hidden="1">#REF!</definedName>
    <definedName name="BExTXEDV7YR1C4NPNQW0Y5BOPCMU" hidden="1">#REF!</definedName>
    <definedName name="BExTXJ6HBAIXMMWKZTJNFDYVZCAY" hidden="1">#REF!</definedName>
    <definedName name="BExTXT812NQT8GAEGH738U29BI0D" hidden="1">#REF!</definedName>
    <definedName name="BExTXTYY8WI047V9CP1NGHJNTX81" hidden="1">#REF!</definedName>
    <definedName name="BExTXWIP2TFPTQ76NHFOB72NICRZ" hidden="1">#REF!</definedName>
    <definedName name="BExTY5T62H651VC86QM4X7E28JVA" hidden="1">#REF!</definedName>
    <definedName name="BExTY7WQDOJYR1EEOG70GPJBWSTQ" hidden="1">#REF!</definedName>
    <definedName name="BExTYHCJJ2NWRM1RV59FYR41534U" hidden="1">#REF!</definedName>
    <definedName name="BExTYKCEFJ83LZM95M1V7CSFQVEA" hidden="1">#REF!</definedName>
    <definedName name="BExTYNCAFW7281RI916S89DLGQ0B" hidden="1">#REF!</definedName>
    <definedName name="BExTYPLA9N640MFRJJQPKXT7P88M" hidden="1">#REF!</definedName>
    <definedName name="BExTZ0DRTNP10YAWFWXWUH39JGSD" hidden="1">#REF!</definedName>
    <definedName name="BExTZ7F71SNTOX4LLZCK5R9VUMIJ" hidden="1">#REF!</definedName>
    <definedName name="BExTZ8X5G9S3PA4FPSNK7T69W7QT" hidden="1">#REF!</definedName>
    <definedName name="BExTZ97Y0RMR8V5BI9F2H4MFB77O" hidden="1">#REF!</definedName>
    <definedName name="BExTZK5PMCAXJL4DUIGL6H9Y8U4C" hidden="1">#REF!</definedName>
    <definedName name="BExTZKB6L5SXV5UN71YVTCBEIGWY" hidden="1">#REF!</definedName>
    <definedName name="BExTZLICVKK4NBJFEGL270GJ2VQO" hidden="1">#REF!</definedName>
    <definedName name="BExTZO2596CBZKPI7YNA1QQNPAIJ" hidden="1">#REF!</definedName>
    <definedName name="BExTZY8TDV4U7FQL7O10G6VKWKPJ" hidden="1">#REF!</definedName>
    <definedName name="BExU02QNT4LT7H9JPUC4FXTLVGZT" hidden="1">#REF!</definedName>
    <definedName name="BExU0BFJJQO1HJZKI14QGOQ6JROO" hidden="1">#REF!</definedName>
    <definedName name="BExU0FH5WTGW8MRFUFMDDSMJ6YQ5" hidden="1">#REF!</definedName>
    <definedName name="BExU0GDOIL9U33QGU9ZU3YX3V1I4" hidden="1">#REF!</definedName>
    <definedName name="BExU0HKTO8WJDQDWRTUK5TETM3HS" hidden="1">#REF!</definedName>
    <definedName name="BExU0MDG62Z531IOUDKYO1387070" hidden="1">#REF!</definedName>
    <definedName name="BExU0MTJQPE041ZN7H8UKGV6MZT7" hidden="1">#REF!</definedName>
    <definedName name="BExU0PO0N138G3UUZ016O0BWDT14" hidden="1">#REF!</definedName>
    <definedName name="BExU0WEU5SQABXWPD4Q0UHZSEM8T" hidden="1">#REF!</definedName>
    <definedName name="BExU0XB6XCXI4SZ92YEUFMW4TAXF" hidden="1">#REF!</definedName>
    <definedName name="BExU0ZUUFYHLUK4M4E8GLGIBBNT0" hidden="1">#REF!</definedName>
    <definedName name="BExU147D6RPG6ZVTSXRKFSVRHSBG" hidden="1">#REF!</definedName>
    <definedName name="BExU16R10W1SOAPNG4CDJ01T7JRE" hidden="1">#REF!</definedName>
    <definedName name="BExU17CKOR3GNIHDNVLH9L1IOJS9" hidden="1">#REF!</definedName>
    <definedName name="BExU1CAO9OAXLJF5EVMP9198FAPW" hidden="1">#REF!</definedName>
    <definedName name="BExU1GXUTLRPJN4MRINLAPHSZQFG" hidden="1">#REF!</definedName>
    <definedName name="BExU1HOWASQF9R30RTAHT2RPNBS0" hidden="1">#REF!</definedName>
    <definedName name="BExU1IL9AOHFO85BZB6S60DK3N8H" hidden="1">#REF!</definedName>
    <definedName name="BExU1NOPS09CLFZL1O31RAF9BQNQ" hidden="1">#REF!</definedName>
    <definedName name="BExU1PH9MOEX1JZVZ3D5M9DXB191" hidden="1">#REF!</definedName>
    <definedName name="BExU1QZEEKJA35IMEOLOJ3ODX0ZA" hidden="1">#REF!</definedName>
    <definedName name="BExU1VRURIWWVJ95O40WA23LMTJD" hidden="1">#REF!</definedName>
    <definedName name="BExU2M5CK6XK55UIHDVYRXJJJRI4" hidden="1">#REF!</definedName>
    <definedName name="BExU2TXVT25ZTOFQAF6CM53Z1RLF" hidden="1">#REF!</definedName>
    <definedName name="BExU2XZLYIU19G7358W5T9E87AFR" hidden="1">#REF!</definedName>
    <definedName name="BExU3B66MCKJFSKT3HL8B5EJGVX0" hidden="1">#REF!</definedName>
    <definedName name="BExU3UNI9NR1RNZR07NSLSZMDOQQ" hidden="1">#REF!</definedName>
    <definedName name="BExU401R18N6XKZKL7CNFOZQCM14" hidden="1">#REF!</definedName>
    <definedName name="BExU42QVGY7TK39W1BIN6CDRG2OE" hidden="1">#REF!</definedName>
    <definedName name="BExU44P2AEX6PD8VC4ISCROUCQSP" hidden="1">#REF!</definedName>
    <definedName name="BExU47OZMS6TCWMEHHF0UCSFLLPI" hidden="1">#REF!</definedName>
    <definedName name="BExU4D36E8TXN0M8KSNGEAFYP4DQ" hidden="1">#REF!</definedName>
    <definedName name="BExU4G31RRVLJ3AC6E1FNEFMXM3O" hidden="1">#REF!</definedName>
    <definedName name="BExU4GDVLPUEWBA4MRYRTQAUNO7B" hidden="1">#REF!</definedName>
    <definedName name="BExU4I148DA7PRCCISLWQ6ABXFK6" hidden="1">#REF!</definedName>
    <definedName name="BExU4L101H2KQHVKCKQ4PBAWZV6K" hidden="1">#REF!</definedName>
    <definedName name="BExU4NA00RRRBGRT6TOB0MXZRCRZ" hidden="1">#REF!</definedName>
    <definedName name="BExU4PIVJKICP6J3DME8LSZ098PG" hidden="1">#REF!</definedName>
    <definedName name="BExU51IFNZXPBDES28457LR8X60M" hidden="1">#REF!</definedName>
    <definedName name="BExU529I6YHVOG83TJHWSILIQU1S" hidden="1">#REF!</definedName>
    <definedName name="BExU57T15UYOGQ8KG77FORAC0IBA" hidden="1">#REF!</definedName>
    <definedName name="BExU57YCIKPRD8QWL6EU0YR3NG3J" hidden="1">#REF!</definedName>
    <definedName name="BExU5DSTBWXLN6E59B757KRWRI6E" hidden="1">#REF!</definedName>
    <definedName name="BExU5EP6DI6Q8QG9HOTHBSUP7T5U" hidden="1">#REF!</definedName>
    <definedName name="BExU5TDWM8NNDHYPQ7OQODTQ368A" hidden="1">#REF!</definedName>
    <definedName name="BExU5X4OX1V1XHS6WSSORVQPP6Z3" hidden="1">#REF!</definedName>
    <definedName name="BExU5XVPARTFMRYHNUTBKDIL4UJN" hidden="1">#REF!</definedName>
    <definedName name="BExU66KMFBAP8JCVG9VM1RD1TNFF" hidden="1">#REF!</definedName>
    <definedName name="BExU68IOM3CB3TACNAE9565TW7SH" hidden="1">#REF!</definedName>
    <definedName name="BExU6AM82KN21E82HMWVP3LWP9IL" hidden="1">#REF!</definedName>
    <definedName name="BExU6FEU1MRHU98R9YOJC5OKUJ6L" hidden="1">#REF!</definedName>
    <definedName name="BExU6KIAJ663Y8W8QMU4HCF183DF" hidden="1">#REF!</definedName>
    <definedName name="BExU6KT19B4PG6SHXFBGBPLM66KT" hidden="1">#REF!</definedName>
    <definedName name="BExU6PAVKIOAIMQ9XQIHHF1SUAGO" hidden="1">#REF!</definedName>
    <definedName name="BExU6UUKBHZ5GHB367G8LZ7KU7BU" hidden="1">#REF!</definedName>
    <definedName name="BExU6WXXC7SSQDMHSLUN5C2V4IYX" hidden="1">#REF!</definedName>
    <definedName name="BExU73387E74XE8A9UKZLZNJYY65" hidden="1">#REF!</definedName>
    <definedName name="BExU76ZHCJM8I7VSICCMSTC33O6U" hidden="1">#REF!</definedName>
    <definedName name="BExU7BBTUF8BQ42DSGM94X5TG5GF" hidden="1">#REF!</definedName>
    <definedName name="BExU7HH4EAHFQHT4AXKGWAWZP3I0" hidden="1">#REF!</definedName>
    <definedName name="BExU7MF1ZVPDHOSMCAXOSYICHZ4I" hidden="1">#REF!</definedName>
    <definedName name="BExU7O2BJ6D5YCKEL6FD2EFCWYRX" hidden="1">#REF!</definedName>
    <definedName name="BExU7Q0JS9YIUKUPNSSAIDK2KJAV" hidden="1">#REF!</definedName>
    <definedName name="BExU80I6AE5OU7P7F5V7HWIZBJ4P" hidden="1">#REF!</definedName>
    <definedName name="BExU86NB26MCPYIISZ36HADONGT2" hidden="1">#REF!</definedName>
    <definedName name="BExU885EZZNSZV3GP298UJ8LB7OL" hidden="1">#REF!</definedName>
    <definedName name="BExU8FSAUP9TUZ1NO9WXK80QPHWV" hidden="1">#REF!</definedName>
    <definedName name="BExU8KA4KCZ8LU4GCW699WEUB4C0" hidden="1">#REF!</definedName>
    <definedName name="BExU8KFLAN778MBN93NYZB0FV30G" hidden="1">#REF!</definedName>
    <definedName name="BExU8OXHEAHQMZP2XPQ3DNJ68XZV" hidden="1">#REF!</definedName>
    <definedName name="BExU8UX9JX3XLB47YZ8GFXE0V7R2" hidden="1">#REF!</definedName>
    <definedName name="BExU91DC3DGKPZD6LTER2IRTF89C" hidden="1">#REF!</definedName>
    <definedName name="BExU96M1J7P9DZQ3S9H0C12KGYTW" hidden="1">#REF!</definedName>
    <definedName name="BExU9F05OR1GZ3057R6UL3WPEIYI" hidden="1">#REF!</definedName>
    <definedName name="BExU9GCSO5YILIKG6VAHN13DL75K" hidden="1">#REF!</definedName>
    <definedName name="BExU9KJOZLO15N11MJVN782NFGJ0" hidden="1">#REF!</definedName>
    <definedName name="BExU9LG29XU2K1GNKRO4438JYQZE" hidden="1">#REF!</definedName>
    <definedName name="BExU9RW36I5Z6JIXUIUB3PJH86LT" hidden="1">#REF!</definedName>
    <definedName name="BExUA28AO7OWDG3H23Q0CL4B7BHW" hidden="1">#REF!</definedName>
    <definedName name="BExUA5O923FFNEBY8BPO1TU3QGBM" hidden="1">#REF!</definedName>
    <definedName name="BExUA5OFBGFUF5KXFI6M58OJB4TJ" hidden="1">#REF!</definedName>
    <definedName name="BExUA6Q4K25VH452AQ3ZIRBCMS61" hidden="1">#REF!</definedName>
    <definedName name="BExUAFV4JMBSM2SKBQL9NHL0NIBS" hidden="1">#REF!</definedName>
    <definedName name="BExUAMWQODKBXMRH1QCMJLJBF8M7" hidden="1">#REF!</definedName>
    <definedName name="BExUAX8WS5OPVLCDXRGKTU2QMTFO" hidden="1">#REF!</definedName>
    <definedName name="BExUB8HLEXSBVPZ5AXNQEK96F1N4" hidden="1">#REF!</definedName>
    <definedName name="BExUBCDVZIEA7YT0LPSMHL5ZSERQ" hidden="1">#REF!</definedName>
    <definedName name="BExUBKXBUCN760QYU7Q8GESBWOQH" hidden="1">#REF!</definedName>
    <definedName name="BExUBL83ED0P076RN9RJ8P1MZ299" hidden="1">#REF!</definedName>
    <definedName name="BExUC623BDYEODBN0N4DO6PJQ7NU" hidden="1">#REF!</definedName>
    <definedName name="BExUC8WH8TCKBB5313JGYYQ1WFLT" hidden="1">#REF!</definedName>
    <definedName name="BExUCFCDK6SPH86I6STXX8X3WMC4" hidden="1">#REF!</definedName>
    <definedName name="BExUCI1I6ASHJOS6L997MBGFFMSK" hidden="1">#REF!</definedName>
    <definedName name="BExUCLC6AQ5KR6LXSAXV4QQ8ASVG" hidden="1">#REF!</definedName>
    <definedName name="BExUD4IOJ12X3PJG5WXNNGDRCKAP" hidden="1">#REF!</definedName>
    <definedName name="BExUD7O401CZRHFZISE7E7YGJZ1N" hidden="1">#REF!</definedName>
    <definedName name="BExUD9WX9BWK72UWVSLYZJLAY5VY" hidden="1">#REF!</definedName>
    <definedName name="BExUDBEUJH9IACZDBL1VAUWPG0QW" hidden="1">#REF!</definedName>
    <definedName name="BExUDEV0CYVO7Y5IQQBEJ6FUY9S6" hidden="1">#REF!</definedName>
    <definedName name="BExUDWOXQGIZW0EAIIYLQUPXF8YV" hidden="1">#REF!</definedName>
    <definedName name="BExUDXAIC17W1FUU8Z10XUAVB7CS" hidden="1">#REF!</definedName>
    <definedName name="BExUE5OMY7OAJQ9WR8C8HG311ORP" hidden="1">#REF!</definedName>
    <definedName name="BExUEFKOQWXXGRNLAOJV2BJ66UB8" hidden="1">#REF!</definedName>
    <definedName name="BExUEJGX3OQQP5KFRJSRCZ70EI9V" hidden="1">#REF!</definedName>
    <definedName name="BExUEYR71COFS2X8PDNU21IPMQEU" hidden="1">#REF!</definedName>
    <definedName name="BExVPRLJ9I6RX45EDVFSQGCPJSOK" hidden="1">#REF!</definedName>
    <definedName name="BExVSL787C8E4HFQZ2NVLT35I2XV" hidden="1">#REF!</definedName>
    <definedName name="BExVSTFTVV14SFGHQUOJL5SQ5TX9" hidden="1">#REF!</definedName>
    <definedName name="BExVT3MPE8LQ5JFN3HQIFKSQ80U4" hidden="1">#REF!</definedName>
    <definedName name="BExVT7TRK3NZHPME2TFBXOF1WBR9" hidden="1">#REF!</definedName>
    <definedName name="BExVT9H0R0T7WGQAAC0HABMG54YM" hidden="1">#REF!</definedName>
    <definedName name="BExVTCMDDEDGLUIMUU6BSFHEWTOP" hidden="1">#REF!</definedName>
    <definedName name="BExVTCMDQMLKRA2NQR72XU6Y54IK" hidden="1">#REF!</definedName>
    <definedName name="BExVTCRV8FQ5U9OYWWL44N6KFNHU" hidden="1">#REF!</definedName>
    <definedName name="BExVTE4BSIJJJUCWPDZWQLBYKQFD" hidden="1">#REF!</definedName>
    <definedName name="BExVTNESHPVG0A0KZ7BRX26MS0PF" hidden="1">#REF!</definedName>
    <definedName name="BExVTTJVTNRSBHBTUZ78WG2JM5MK" hidden="1">#REF!</definedName>
    <definedName name="BExVTVY8TUBXRTHC3VINGKI1YJIL" hidden="1">#REF!</definedName>
    <definedName name="BExVTXLMYR87BC04D1ERALPUFVPG" hidden="1">#REF!</definedName>
    <definedName name="BExVUL9V3H8ZF6Y72LQBBN639YAA" hidden="1">#REF!</definedName>
    <definedName name="BExVV5T14N2HZIK7HQ4P2KG09U0J" hidden="1">#REF!</definedName>
    <definedName name="BExVV7R410VYLADLX9LNG63ID6H1" hidden="1">#REF!</definedName>
    <definedName name="BExVVCEED4JEKF59OV0G3T4XFMFO" hidden="1">#REF!</definedName>
    <definedName name="BExVVJFX8P6VZJZ8643M48GHDFG1" hidden="1">#REF!</definedName>
    <definedName name="BExVVPFO2J7FMSRPD36909HN4BZJ" hidden="1">#REF!</definedName>
    <definedName name="BExVVQ19AQ3VCARJOC38SF7OYE9Y" hidden="1">#REF!</definedName>
    <definedName name="BExVVQ19TAECID45CS4HXT1RD3AQ" hidden="1">#REF!</definedName>
    <definedName name="BExVVZMIG5OW9QQ1TW4L1R64Q9TN" hidden="1">#REF!</definedName>
    <definedName name="BExVW3YV5XGIVJ97UUPDJGJ2P15B" hidden="1">#REF!</definedName>
    <definedName name="BExVW5X571GEYR5SCU1Z2DHKWM79" hidden="1">#REF!</definedName>
    <definedName name="BExVW6YTKA098AF57M4PHNQ54XMH" hidden="1">#REF!</definedName>
    <definedName name="BExVWINKCH0V0NUWH363SMXAZE62" hidden="1">#REF!</definedName>
    <definedName name="BExVWYU8EK669NP172GEIGCTVPPA" hidden="1">#REF!</definedName>
    <definedName name="BExVX3MVJ0GHWPP1EL59ZQNKMX0B" hidden="1">#REF!</definedName>
    <definedName name="BExVX3XN2DRJKL8EDBIG58RYQ36R" hidden="1">#REF!</definedName>
    <definedName name="BExVXDZ63PUART77BBR5SI63TPC6" hidden="1">#REF!</definedName>
    <definedName name="BExVXHKI6LFYMGWISMPACMO247HL" hidden="1">#REF!</definedName>
    <definedName name="BExVXLX2BZ5EF2X6R41BTKRJR1NM" hidden="1">#REF!</definedName>
    <definedName name="BExVY11V7U1SAY4QKYE0PBSPD7LW" hidden="1">#REF!</definedName>
    <definedName name="BExVY1SV37DL5YU59HS4IG3VBCP4" hidden="1">#REF!</definedName>
    <definedName name="BExVY3WFGJKSQA08UF9NCMST928Y" hidden="1">#REF!</definedName>
    <definedName name="BExVY954UOEVQEIC5OFO4NEWVKAQ" hidden="1">#REF!</definedName>
    <definedName name="BExVYHDYIV5397LC02V4FEP8VD6W" hidden="1">#REF!</definedName>
    <definedName name="BExVYOVIZDA18YIQ0A30Q052PCAK" hidden="1">#REF!</definedName>
    <definedName name="BExVYQIXPEM6J4JVP78BRHIC05PV" hidden="1">#REF!</definedName>
    <definedName name="BExVYVGWN7SONLVDH9WJ2F1JS264" hidden="1">#REF!</definedName>
    <definedName name="BExVZ9EO732IK6MNMG17Y1EFTJQC" hidden="1">#REF!</definedName>
    <definedName name="BExVZB1Y5J4UL2LKK0363EU7GIJ1" hidden="1">#REF!</definedName>
    <definedName name="BExVZJQVO5LQ0BJH5JEN5NOBIAF6" hidden="1">#REF!</definedName>
    <definedName name="BExVZNXWS91RD7NXV5NE2R3C8WW7" hidden="1">#REF!</definedName>
    <definedName name="BExVZOUAKQ43LVDT09BYB0GNN86E" hidden="1">#REF!</definedName>
    <definedName name="BExW0386REQRCQCVT9BCX80UPTRY" hidden="1">#REF!</definedName>
    <definedName name="BExW0BBIM1W711KB0UC8UG5NCESP" hidden="1">#REF!</definedName>
    <definedName name="BExW0FYP4WXY71CYUG40SUBG9UWU" hidden="1">#REF!</definedName>
    <definedName name="BExW0RI61B4VV0ARXTFVBAWRA1C5" hidden="1">#REF!</definedName>
    <definedName name="BExW17U45DTOECIFI9FW9DNVNGXO" hidden="1">#REF!</definedName>
    <definedName name="BExW1BVUYQTKMOR56MW7RVRX4L1L" hidden="1">#REF!</definedName>
    <definedName name="BExW1F1220628FOMTW5UAATHRJHK" hidden="1">#REF!</definedName>
    <definedName name="BExW1TKA0Z9OP2DTG50GZR5EG8C7" hidden="1">#REF!</definedName>
    <definedName name="BExW1U0JLKQ094DW5MMOI8UHO09V" hidden="1">#REF!</definedName>
    <definedName name="BExW283NP9D366XFPXLGSCI5UB0L" hidden="1">#REF!</definedName>
    <definedName name="BExW2H3C8WJSBW5FGTFKVDVJC4CL" hidden="1">#REF!</definedName>
    <definedName name="BExW2MSCKPGF5K3I7TL4KF5ISUOL" hidden="1">#REF!</definedName>
    <definedName name="BExW2SMO90FU9W8DVVES6Q4E6BZR" hidden="1">#REF!</definedName>
    <definedName name="BExW36V9N91OHCUMGWJQL3I5P4JK" hidden="1">#REF!</definedName>
    <definedName name="BExW3EIBA1J9Q9NA9VCGZGRS8WV7" hidden="1">#REF!</definedName>
    <definedName name="BExW3FEO8FI8N6AGQKYEG4SQVJWB" hidden="1">#REF!</definedName>
    <definedName name="BExW3GB28STOMJUSZEIA7YKYNS4Y" hidden="1">#REF!</definedName>
    <definedName name="BExW3T1K638HT5E0Y8MMK108P5JT" hidden="1">#REF!</definedName>
    <definedName name="BExW4217ZHL9VO39POSTJOD090WU" hidden="1">#REF!</definedName>
    <definedName name="BExW4GPW71EBF8XPS2QGVQHBCDX3" hidden="1">#REF!</definedName>
    <definedName name="BExW4JKC5837JBPCOJV337ZVYYY3" hidden="1">#REF!</definedName>
    <definedName name="BExW4QR9FV9MP5K610THBSM51RYO" hidden="1">#REF!</definedName>
    <definedName name="BExW4Z029R9E19ZENN3WEA3VDAD1" hidden="1">#REF!</definedName>
    <definedName name="BExW5AZNT6IAZGNF2C879ODHY1B8" hidden="1">#REF!</definedName>
    <definedName name="BExW5WPU27WD4NWZOT0ZEJIDLX5J" hidden="1">#REF!</definedName>
    <definedName name="BExW660AV1TUV2XNUPD65RZR3QOO" hidden="1">#REF!</definedName>
    <definedName name="BExW66LVVZK656PQY1257QMHP2AY" hidden="1">#REF!</definedName>
    <definedName name="BExW6EJPHAP1TWT380AZLXNHR22P" hidden="1">#REF!</definedName>
    <definedName name="BExW6G1PJ38H10DVLL8WPQ736OEB" hidden="1">#REF!</definedName>
    <definedName name="BExW794A74Z5F2K8LVQLD6VSKXUE" hidden="1">#REF!</definedName>
    <definedName name="BExW8K0SSIPSKBVP06IJ71600HJZ" hidden="1">#REF!</definedName>
    <definedName name="BExW8NM8DJJESE7GF7VGTO2XO6P1" hidden="1">#REF!</definedName>
    <definedName name="BExW8T0GVY3ZYO4ACSBLHS8SH895" hidden="1">#REF!</definedName>
    <definedName name="BExW8YEP73JMMU9HZ08PM4WHJQZ4" hidden="1">#REF!</definedName>
    <definedName name="BExW913TEHKTF36Q6JP5MG1PTOYN" hidden="1">#REF!</definedName>
    <definedName name="BExW937AT53OZQRHNWQZ5BVH24IE" hidden="1">#REF!</definedName>
    <definedName name="BExW94UPIR3OK0JJ6UO14FRSH2UT" hidden="1">#REF!</definedName>
    <definedName name="BExW95LN5N0LYFFVP7GJEGDVDLF0" hidden="1">#REF!</definedName>
    <definedName name="BExW967733Q8RAJOHR2GJ3HO8JIW" hidden="1">#REF!</definedName>
    <definedName name="BExW9POK1KIOI0ALS5MZIKTDIYMA" hidden="1">#REF!</definedName>
    <definedName name="BExW9TVLB7OIHTG98I7I4EXBL61S" hidden="1">#REF!</definedName>
    <definedName name="BExXLDE6PN4ESWT3LXJNQCY94NE4" hidden="1">#REF!</definedName>
    <definedName name="BExXLQVPK2H3IF0NDDA5CT612EUK" hidden="1">#REF!</definedName>
    <definedName name="BExXLR6IO70TYTACKQH9M5PGV24J" hidden="1">#REF!</definedName>
    <definedName name="BExXM065WOLYRYHGHOJE0OOFXA4M" hidden="1">#REF!</definedName>
    <definedName name="BExXM3GUNXVDM82KUR17NNUMQCNI" hidden="1">#REF!</definedName>
    <definedName name="BExXMA28M8SH7MKIGETSDA72WUIZ" hidden="1">#REF!</definedName>
    <definedName name="BExXMAYLUVI5LSVN3LAS6HO6VB6J" hidden="1">#REF!</definedName>
    <definedName name="BExXMOLHIAHDLFSA31PUB36SC3I9" hidden="1">#REF!</definedName>
    <definedName name="BExXMT8T5Z3M2JBQN65X2LKH0YQI" hidden="1">#REF!</definedName>
    <definedName name="BExXMZU5L88M2XUI7HHKE82XZ2FC" hidden="1">#REF!</definedName>
    <definedName name="BExXN1XNO7H60M9X1E7EVWFJDM5N" hidden="1">#REF!</definedName>
    <definedName name="BExXN22ZOTIW49GPLWFYKVM90FNZ" hidden="1">#REF!</definedName>
    <definedName name="BExXN4C031W9DK73MJHKL8YT1QA8" hidden="1">#REF!</definedName>
    <definedName name="BExXN6QAP8UJQVN4R4BQKPP4QK35" hidden="1">#REF!</definedName>
    <definedName name="BExXNBOA39T2X6Y5Y5GZ5DDNA1AX" hidden="1">#REF!</definedName>
    <definedName name="BExXND6872VJ3M2PGT056WQMWBHD" hidden="1">#REF!</definedName>
    <definedName name="BExXNPM24UN2PGVL9D1TUBFRIKR4" hidden="1">#REF!</definedName>
    <definedName name="BExXNWYB165VO9MHARCL5WLCHWS0" hidden="1">#REF!</definedName>
    <definedName name="BExXO278QHQN8JDK5425EJ615ECC" hidden="1">#REF!</definedName>
    <definedName name="BExXOBHOP0WGFHI2Y9AO4L440UVQ" hidden="1">#REF!</definedName>
    <definedName name="BExXOHSAD2NSHOLLMZ2JWA4I3I1R" hidden="1">#REF!</definedName>
    <definedName name="BExXOL2YYS792P3SOTOIJ14WPZLO" hidden="1">#REF!</definedName>
    <definedName name="BExXP2RDV1M57RCQ83QPMU0RQ6UY" hidden="1">#REF!</definedName>
    <definedName name="BExXP80B5FGA00JCM7UXKPI3PB7Y" hidden="1">#REF!</definedName>
    <definedName name="BExXP85M4WXYVN1UVHUTOEKEG5XS" hidden="1">#REF!</definedName>
    <definedName name="BExXPELOTHOAG0OWILLAH94OZV5J" hidden="1">#REF!</definedName>
    <definedName name="BExXPS31W1VD2NMIE4E37LHVDF0L" hidden="1">#REF!</definedName>
    <definedName name="BExXPZKYEMVF5JOC14HYOOYQK6JK" hidden="1">#REF!</definedName>
    <definedName name="BExXQ89PA10X79WBWOEP1AJX1OQM" hidden="1">#REF!</definedName>
    <definedName name="BExXQCGQGGYSI0LTRVR73MUO50AW" hidden="1">#REF!</definedName>
    <definedName name="BExXQEEXFHDQ8DSRAJSB5ET6J004" hidden="1">#REF!</definedName>
    <definedName name="BExXQH41O5HZAH8BO6HCFY8YC3TU" hidden="1">#REF!</definedName>
    <definedName name="BExXQIRBLQSLAJTFL7224FCFUTKH" hidden="1">#REF!</definedName>
    <definedName name="BExXQJIEF5R3QQ6D8HO3NGPU0IQC" hidden="1">#REF!</definedName>
    <definedName name="BExXQU00K9ER4I1WM7T9J0W1E7ZC" hidden="1">#REF!</definedName>
    <definedName name="BExXQU00KOR7XLM8B13DGJ1MIQDY" hidden="1">#REF!</definedName>
    <definedName name="BExXQXG18PS8HGBOS03OSTQ0KEYC" hidden="1">#REF!</definedName>
    <definedName name="BExXQXQT4OAFQT5B0YB3USDJOJOB" hidden="1">#REF!</definedName>
    <definedName name="BExXR3FSEXAHSXEQNJORWFCPX86N" hidden="1">#REF!</definedName>
    <definedName name="BExXR3W3FKYQBLR299HO9RZ70C43" hidden="1">#REF!</definedName>
    <definedName name="BExXR46U23CRRBV6IZT982MAEQKI" hidden="1">#REF!</definedName>
    <definedName name="BExXR5JCDBSYSJP14U1E847BK5JU" hidden="1">#REF!</definedName>
    <definedName name="BExXR8OKAVX7O70V5IYG2PRKXSTI" hidden="1">#REF!</definedName>
    <definedName name="BExXRA6N6XCLQM6XDV724ZIH6G93" hidden="1">#REF!</definedName>
    <definedName name="BExXRABZ1CNKCG6K1MR6OUFHF7J9" hidden="1">#REF!</definedName>
    <definedName name="BExXRBOFETC0OTJ6WY3VPMFH03VB" hidden="1">#REF!</definedName>
    <definedName name="BExXRD13K1S9Y3JGR7CXSONT7RJZ" hidden="1">#REF!</definedName>
    <definedName name="BExXRIFB4QQ87QIGA9AG0NXP577K" hidden="1">#REF!</definedName>
    <definedName name="BExXRIQ2JF2CVTRDQX2D9SPH7FTN" hidden="1">#REF!</definedName>
    <definedName name="BExXRO4A6VUH1F4XV8N1BRJ4896W" hidden="1">#REF!</definedName>
    <definedName name="BExXRO9N1SNJZGKD90P4K7FU1J0P" hidden="1">#REF!</definedName>
    <definedName name="BExXRV5QP3Z0KAQ1EQT9JYT2FV0L" hidden="1">#REF!</definedName>
    <definedName name="BExXRZ20LZZCW8LVGDK0XETOTSAI" hidden="1">#REF!</definedName>
    <definedName name="BExXRZNM651EJ5HJPGKGTVYLAZQ1" hidden="1">#REF!</definedName>
    <definedName name="BExXS63O4OMWMNXXAODZQFSDG33N" hidden="1">#REF!</definedName>
    <definedName name="BExXSBSP1TOY051HSPEPM0AEIO2M" hidden="1">#REF!</definedName>
    <definedName name="BExXSC8RFK5D68FJD2HI4K66SA6I" hidden="1">#REF!</definedName>
    <definedName name="BExXSEN3W40BM4B3MLQIHKR47ZON" hidden="1">#REF!</definedName>
    <definedName name="BExXSNHC88W4UMXEOIOOATJAIKZO" hidden="1">#REF!</definedName>
    <definedName name="BExXSTBS08WIA9TLALV3UQ2Z3MRG" hidden="1">#REF!</definedName>
    <definedName name="BExXSVQ2WOJJ73YEO8Q2FK60V4G8" hidden="1">#REF!</definedName>
    <definedName name="BExXTHLRNL82GN7KZY3TOLO508N7" hidden="1">#REF!</definedName>
    <definedName name="BExXTL72MKEQSQH9L2OTFLU8DM2B" hidden="1">#REF!</definedName>
    <definedName name="BExXTM3M4RTCRSX7VGAXGQNPP668" hidden="1">#REF!</definedName>
    <definedName name="BExXTOCF78J7WY6FOVBRY1N2RBBR" hidden="1">#REF!</definedName>
    <definedName name="BExXTP3GYO6Z9RTKKT10XA0UTV3T" hidden="1">#REF!</definedName>
    <definedName name="BExXTZKZ4CG92ZQLIRKEXXH9BFIR" hidden="1">#REF!</definedName>
    <definedName name="BExXU4J2BM2964GD5UZHM752Q4NS" hidden="1">#REF!</definedName>
    <definedName name="BExXU6XDTT7RM93KILIDEYPA9XKF" hidden="1">#REF!</definedName>
    <definedName name="BExXU8VLZA7WLPZ3RAQZGNERUD26" hidden="1">#REF!</definedName>
    <definedName name="BExXUB9RSLSCNN5ETLXY72DAPZZM" hidden="1">#REF!</definedName>
    <definedName name="BExXUFRM82XQIN2T8KGLDQL1IBQW" hidden="1">#REF!</definedName>
    <definedName name="BExXUQEQBF6FI240ZGIF9YXZSRAU" hidden="1">#REF!</definedName>
    <definedName name="BExXUYND6EJO7CJ5KRICV4O1JNWK" hidden="1">#REF!</definedName>
    <definedName name="BExXV6FWG4H3S2QEUJZYIXILNGJ7" hidden="1">#REF!</definedName>
    <definedName name="BExXVK87BMMO6LHKV0CFDNIQVIBS" hidden="1">#REF!</definedName>
    <definedName name="BExXVKZ9WXPGL6IVY6T61IDD771I" hidden="1">#REF!</definedName>
    <definedName name="BExXW0K72T1Y8K1I4VZT87UY9S2G" hidden="1">#REF!</definedName>
    <definedName name="BExXW27MMXHXUXX78SDTBE1JYTHT" hidden="1">#REF!</definedName>
    <definedName name="BExXW2YIM2MYBSHRIX0RP9D4PRMN" hidden="1">#REF!</definedName>
    <definedName name="BExXWBNE4KTFSXKVSRF6WX039WPB" hidden="1">#REF!</definedName>
    <definedName name="BExXWFP5AYE7EHYTJWBZSQ8PQ0YX" hidden="1">#REF!</definedName>
    <definedName name="BExXWVFIBQT8OY1O41FRFPFGXQHK" hidden="1">#REF!</definedName>
    <definedName name="BExXWWXHBZHA9J3N8K47F84X0M0L" hidden="1">#REF!</definedName>
    <definedName name="BExXXBM521DL8R4ZX7NZ3DBCUOR5" hidden="1">#REF!</definedName>
    <definedName name="BExXXC7OZI33XZ03NRMEP7VRLQK4" hidden="1">#REF!</definedName>
    <definedName name="BExXXH5N3NKBQ7BCJPJTBF8CYM2Q" hidden="1">#REF!</definedName>
    <definedName name="BExXXKWLM4D541BH6O8GOJMHFHMW" hidden="1">#REF!</definedName>
    <definedName name="BExXXONEG4WKT3K2X9XOMQ0S1S4O" hidden="1">#REF!</definedName>
    <definedName name="BExXXPPA1Q87XPI97X0OXCPBPDON" hidden="1">#REF!</definedName>
    <definedName name="BExXXVUDA98IZTQ6MANKU4MTTDVR" hidden="1">#REF!</definedName>
    <definedName name="BExXXZQNZY6IZI45DJXJK0MQZWA7" hidden="1">#REF!</definedName>
    <definedName name="BExXY5QFG6QP94SFT3935OBM8Y4K" hidden="1">#REF!</definedName>
    <definedName name="BExXY6HAY1PIF6X96VYUXT4CAZZK" hidden="1">#REF!</definedName>
    <definedName name="BExXY7TYEBFXRYUYIFHTN65RJ8EW" hidden="1">#REF!</definedName>
    <definedName name="BExXYLBHANUXC5FCTDDTGOVD3GQS" hidden="1">#REF!</definedName>
    <definedName name="BExXYMNYAYH3WA2ZCFAYKZID9ZCI" hidden="1">#REF!</definedName>
    <definedName name="BExXYYT12SVN2VDMLVNV4P3ISD8T" hidden="1">#REF!</definedName>
    <definedName name="BExXZ1I56ZND3AIOQN4R2EQJ015S" hidden="1">#REF!</definedName>
    <definedName name="BExXZEDWUYH25UZMW2QU2RXFILJE" hidden="1">#REF!</definedName>
    <definedName name="BExXZFVV4YB42AZ3H1I40YG3JAPU" hidden="1">#REF!</definedName>
    <definedName name="BExXZHJ9T2JELF12CHHGD54J1B0C" hidden="1">#REF!</definedName>
    <definedName name="BExXZNJ2X1TK2LRK5ZY3MX49H5T7" hidden="1">#REF!</definedName>
    <definedName name="BExXZOVPCEP495TQSON6PSRQ8XCY" hidden="1">#REF!</definedName>
    <definedName name="BExXZXKH7NBARQQAZM69Z57IH1MM" hidden="1">#REF!</definedName>
    <definedName name="BExY07WSDH5QEVM7BJXJK2ZRAI1O" hidden="1">#REF!</definedName>
    <definedName name="BExY0999SHQH6XRZCT8CC1TXYKFK" hidden="1">#REF!</definedName>
    <definedName name="BExY0C3UBVC4M59JIRXVQ8OWAJC1" hidden="1">#REF!</definedName>
    <definedName name="BExY0OE8GFHMLLTEAFIOQTOPEVPB" hidden="1">#REF!</definedName>
    <definedName name="BExY0OJHW85S0VKBA8T4HTYPYBOS" hidden="1">#REF!</definedName>
    <definedName name="BExY0T1E034D7XAXNC6F7540LLIE" hidden="1">#REF!</definedName>
    <definedName name="BExY0XTZLHN49J2JH94BYTKBJLT3" hidden="1">#REF!</definedName>
    <definedName name="BExY103059PL8XGR9QH6ERDGU3B2" hidden="1">#REF!</definedName>
    <definedName name="BExY11FH9TXHERUYGG8FE50U7H7J" hidden="1">#REF!</definedName>
    <definedName name="BExY180UKNW5NIAWD6ZUYTFEH8QS" hidden="1">#REF!</definedName>
    <definedName name="BExY1DPTV4LSY9MEOUGXF8X052NA" hidden="1">#REF!</definedName>
    <definedName name="BExY1GK9ELBEKDD7O6HR6DUO8YGO" hidden="1">#REF!</definedName>
    <definedName name="BExY1NWOXXFV9GGZ3PX444LZ8TVX" hidden="1">#REF!</definedName>
    <definedName name="BExY1UCL0RND63LLSM9X5SFRG117" hidden="1">#REF!</definedName>
    <definedName name="BExY1WAT3937L08HLHIRQHMP2A3H" hidden="1">#REF!</definedName>
    <definedName name="BExY1YEBOSLMID7LURP8QB46AI91" hidden="1">#REF!</definedName>
    <definedName name="BExY2FS4LFX9OHOTQT7SJ2PXAC25" hidden="1">#REF!</definedName>
    <definedName name="BExY2GDPCZPVU0IQ6IJIB1YQQRQ6" hidden="1">#REF!</definedName>
    <definedName name="BExY2GTSZ3VA9TXLY7KW1LIAKJ61" hidden="1">#REF!</definedName>
    <definedName name="BExY2IXBR1SGYZH08T7QHKEFS8HA" hidden="1">#REF!</definedName>
    <definedName name="BExY2Q4B5FUDA5VU4VRUHX327QN0" hidden="1">#REF!</definedName>
    <definedName name="BExY3121J9VZ48X2WM56EXPOD3S3" hidden="1">#REF!</definedName>
    <definedName name="BExY3HOSK7YI364K15OX70AVR6F1" hidden="1">#REF!</definedName>
    <definedName name="BExY3T89AUR83SOAZZ3OMDEJDQ39" hidden="1">#REF!</definedName>
    <definedName name="BExY4MG771JQ84EMIVB6HQGGHZY7" hidden="1">#REF!</definedName>
    <definedName name="BExY4MQZH30ZELHCBRBSDADOROEB" hidden="1">#REF!</definedName>
    <definedName name="BExY4PWCSFB8P3J3TBQB2MD67263" hidden="1">#REF!</definedName>
    <definedName name="BExY4RZW3KK11JLYBA4DWZ92M6LQ" hidden="1">#REF!</definedName>
    <definedName name="BExY4XOVTTNVZ577RLIEC7NZQFIX" hidden="1">#REF!</definedName>
    <definedName name="BExY50JAF5CG01GTHAUS7I4ZLUDC" hidden="1">#REF!</definedName>
    <definedName name="BExY53J7EXFEOFTRNAHLK7IH3ACB" hidden="1">#REF!</definedName>
    <definedName name="BExY5515SJTJS3VM80M3YYR0WF37" hidden="1">#REF!</definedName>
    <definedName name="BExY5515WE39FQ3EG5QHG67V9C0O" hidden="1">#REF!</definedName>
    <definedName name="BExY5986WNAD8NFCPXC9TVLBU4FG" hidden="1">#REF!</definedName>
    <definedName name="BExY5DF9MS25IFNWGJ1YAS5MDN8R" hidden="1">#REF!</definedName>
    <definedName name="BExY5ERVGL3UM2MGT8LJ0XPKTZEK" hidden="1">#REF!</definedName>
    <definedName name="BExY5EX6NJFK8W754ZVZDN5DS04K" hidden="1">#REF!</definedName>
    <definedName name="BExY5S3XD1NJT109CV54IFOHVLQ6" hidden="1">#REF!</definedName>
    <definedName name="BExY5TB2VAI3GHKCPXMCVIOM8B8W" hidden="1">#REF!</definedName>
    <definedName name="BExY5ZLOVAEM99APYIAHVMF2CNL4" hidden="1">#REF!</definedName>
    <definedName name="BExY6KVS1MMZ2R34PGEFR2BMTU9W" hidden="1">#REF!</definedName>
    <definedName name="BExY6Q9YY7LW745GP7CYOGGSPHGE" hidden="1">#REF!</definedName>
    <definedName name="BExZIA3C8LKJTEH3MKQ57KJH5TA2" hidden="1">#REF!</definedName>
    <definedName name="BExZIIHH3QNQE3GFMHEE4UMHY6WQ" hidden="1">#REF!</definedName>
    <definedName name="BExZIYO22G5UXOB42GDLYGVRJ6U7" hidden="1">#REF!</definedName>
    <definedName name="BExZJ060QB9X40T7SESPRQ5K9M74" hidden="1">#REF!</definedName>
    <definedName name="BExZJ7I9T8XU4MZRKJ1VVU76V2LZ" hidden="1">#REF!</definedName>
    <definedName name="BExZJMY170JCUU1RWASNZ1HJPRTA" hidden="1">#REF!</definedName>
    <definedName name="BExZJOQR77H0P4SUKVYACDCFBBXO" hidden="1">#REF!</definedName>
    <definedName name="BExZJS6RG34ODDY9HMZ0O34MEMSB" hidden="1">#REF!</definedName>
    <definedName name="BExZK0A28YOH6J1CS9BHZ43LF9VW" hidden="1">#REF!</definedName>
    <definedName name="BExZK34NR4BAD7HJAP7SQ926UQP3" hidden="1">#REF!</definedName>
    <definedName name="BExZK3FGPHH5H771U7D5XY7XBS6E" hidden="1">#REF!</definedName>
    <definedName name="BExZKHYORG3O8C772XPFHM1N8T80" hidden="1">#REF!</definedName>
    <definedName name="BExZKJRF2IRR57DG9CLC7MSHWNNN" hidden="1">#REF!</definedName>
    <definedName name="BExZKV5GYXO0X760SBD9TWTIQHGI" hidden="1">#REF!</definedName>
    <definedName name="BExZL6E4YVXRUN7ZGF2BIGIXFR8K" hidden="1">#REF!</definedName>
    <definedName name="BExZLD4SYQZ8OLBV8OQYMHFTHOPC" hidden="1">#REF!</definedName>
    <definedName name="BExZLGVLMKTPFXG42QYT0PO81G7F" hidden="1">#REF!</definedName>
    <definedName name="BExZLKMK7LRK14S09WLMH7MXSQXM" hidden="1">#REF!</definedName>
    <definedName name="BExZM6I7ACAYO3F2D1620XRBF2BX" hidden="1">#REF!</definedName>
    <definedName name="BExZM7JVLG0W8EG5RBU915U3SKBY" hidden="1">#REF!</definedName>
    <definedName name="BExZM85FOVUFF110XMQ9O2ODSJUK" hidden="1">#REF!</definedName>
    <definedName name="BExZMF1MMTZ1TA14PZ8ASSU2CBSP" hidden="1">#REF!</definedName>
    <definedName name="BExZMKL5YQZD7F0FUCSVFGLPFK52" hidden="1">#REF!</definedName>
    <definedName name="BExZMOC3VNZALJM71X2T6FV91GTB" hidden="1">#REF!</definedName>
    <definedName name="BExZMXH39OB0I43XEL3K11U3G9PM" hidden="1">#REF!</definedName>
    <definedName name="BExZMZQ3RBKDHT5GLFNLS52OSJA0" hidden="1">#REF!</definedName>
    <definedName name="BExZN1O630B3MFU4RVXF7EU1ESI1" hidden="1">#REF!</definedName>
    <definedName name="BExZN24FLGWRQTKEZEHKQJCNSBGR" hidden="1">#REF!</definedName>
    <definedName name="BExZN2F7Y2J2L2LN5WZRG949MS4A" hidden="1">#REF!</definedName>
    <definedName name="BExZN847WUWKRYTZWG9TCQZJS3OL" hidden="1">#REF!</definedName>
    <definedName name="BExZNH3VISFF4NQI11BZDP5IQ7VG" hidden="1">#REF!</definedName>
    <definedName name="BExZNJYCFYVMAOI62GB2BABK1ELE" hidden="1">#REF!</definedName>
    <definedName name="BExZNOW9KWXME7OLFD6QN6L87KLL" hidden="1">#REF!</definedName>
    <definedName name="BExZNV707LIU6Z5H6QI6H67LHTI1" hidden="1">#REF!</definedName>
    <definedName name="BExZNVCBKB930QQ9QW7KSGOZ0V1M" hidden="1">#REF!</definedName>
    <definedName name="BExZNW8QJ18X0RSGFDWAE9ZSDX39" hidden="1">#REF!</definedName>
    <definedName name="BExZNZDWRS6Q40L8OCWFEIVI0A1O" hidden="1">#REF!</definedName>
    <definedName name="BExZOBO9NYLGVJQ31LVQ9XS2ZT4N" hidden="1">#REF!</definedName>
    <definedName name="BExZOETNB1CJ3Y2RKLI1ZK0S8Z6H" hidden="1">#REF!</definedName>
    <definedName name="BExZOL9K1RUXBTLZ6FJ65BIE9G5R" hidden="1">#REF!</definedName>
    <definedName name="BExZOREMVSK4E5VSWM838KHUB8AI" hidden="1">#REF!</definedName>
    <definedName name="BExZOVR745T5P1KS9NV2PXZPZVRG" hidden="1">#REF!</definedName>
    <definedName name="BExZOZSWGLSY2XYVRIS6VSNJDSGD" hidden="1">#REF!</definedName>
    <definedName name="BExZP7AIJKLM6C6CSUIIFAHFBNX2" hidden="1">#REF!</definedName>
    <definedName name="BExZPQ0XY507N8FJMVPKCTK8HC9H" hidden="1">#REF!</definedName>
    <definedName name="BExZQ37OVBR25U32CO2YYVPZOMR5" hidden="1">#REF!</definedName>
    <definedName name="BExZQ3D017NJF4K7O2TMNVMMZNM3" hidden="1">#REF!</definedName>
    <definedName name="BExZQ3IHNAFF2HI20IH754T349LH" hidden="1">#REF!</definedName>
    <definedName name="BExZQ3NT7H06VO0AR48WHZULZB93" hidden="1">#REF!</definedName>
    <definedName name="BExZQ7PJU07SEJMDX18U9YVDC2GU" hidden="1">#REF!</definedName>
    <definedName name="BExZQIHTGHK7OOI2Y2PN3JYBY82I" hidden="1">#REF!</definedName>
    <definedName name="BExZQJJMGU5MHQOILGXGJPAQI5XI" hidden="1">#REF!</definedName>
    <definedName name="BExZQSOTQO6CK7LQNG0979K1PMUV" hidden="1">#REF!</definedName>
    <definedName name="BExZQXBYEBN28QUH1KOVW6KKA5UM" hidden="1">#REF!</definedName>
    <definedName name="BExZQZKT146WEN8FTVZ7Y5TSB8L5" hidden="1">#REF!</definedName>
    <definedName name="BExZR485AKBH93YZ08CMUC3WROED" hidden="1">#REF!</definedName>
    <definedName name="BExZR7TL98P2PPUVGIZYR5873DWW" hidden="1">#REF!</definedName>
    <definedName name="BExZRGD1603X5ACFALUUDKCD7X48" hidden="1">#REF!</definedName>
    <definedName name="BExZRP1X6UVLN1UOLHH5VF4STP1O" hidden="1">#REF!</definedName>
    <definedName name="BExZRQ930U6OCYNV00CH5I0Q4LPE" hidden="1">#REF!</definedName>
    <definedName name="BExZRW8W514W8OZ72YBONYJ64GXF" hidden="1">#REF!</definedName>
    <definedName name="BExZRWJP2BUVFJPO8U8ATQEP0LZU" hidden="1">#REF!</definedName>
    <definedName name="BExZRYHWS0H0ZGU57YYJHSPWF985" hidden="1">#REF!</definedName>
    <definedName name="BExZS2OY9JTSSP01ZQ6V2T2LO5R9" hidden="1">#REF!</definedName>
    <definedName name="BExZSI9USDLZAN8LI8M4YYQL24GZ" hidden="1">#REF!</definedName>
    <definedName name="BExZSS0LA2JY4ZLJ1Z5YCMLJJZCH" hidden="1">#REF!</definedName>
    <definedName name="BExZT9P6DRUKIXPPYZUUXHJBZYIP" hidden="1">#REF!</definedName>
    <definedName name="BExZTAQV2QVSZY5Y3VCCWUBSBW9P" hidden="1">#REF!</definedName>
    <definedName name="BExZTHSI2FX56PWRSNX9H5EWTZFO" hidden="1">#REF!</definedName>
    <definedName name="BExZTI8LMF9H021SUTTGQS55G0LU" hidden="1">#REF!</definedName>
    <definedName name="BExZTJL3HVBFY139H6CJHEQCT1EL" hidden="1">#REF!</definedName>
    <definedName name="BExZTLOL8OPABZI453E0KVNA1GJS" hidden="1">#REF!</definedName>
    <definedName name="BExZTT6J3X0TOX0ZY6YPLUVMCW9X" hidden="1">#REF!</definedName>
    <definedName name="BExZTW6ECBRA0BBITWBQ8R93RMCL" hidden="1">#REF!</definedName>
    <definedName name="BExZU2BHYAOKSCBM3C5014ZF6IXS" hidden="1">#REF!</definedName>
    <definedName name="BExZU2RMJTXOCS0ROPMYPE6WTD87" hidden="1">#REF!</definedName>
    <definedName name="BExZU49K5PS9GP2FVTQZX7AYAKH1" hidden="1">#REF!</definedName>
    <definedName name="BExZUF7G8FENTJKH9R1XUWXM6CWD" hidden="1">#REF!</definedName>
    <definedName name="BExZUNARUJBIZ08VCAV3GEVBIR3D" hidden="1">#REF!</definedName>
    <definedName name="BExZUSZT5496UMBP4LFSLTR1GVEW" hidden="1">#REF!</definedName>
    <definedName name="BExZUT54340I38GVCV79EL116WR0" hidden="1">#REF!</definedName>
    <definedName name="BExZUYDULCX65H9OZ9JHPBNKF3MI" hidden="1">#REF!</definedName>
    <definedName name="BExZV2QD5ZDK3AGDRULLA7JB46C3" hidden="1">#REF!</definedName>
    <definedName name="BExZVBQ29OM0V8XAL3HL0JIM0MMU" hidden="1">#REF!</definedName>
    <definedName name="BExZVEPYS6HYXG8RN9GMWZTHDEMK" hidden="1">#REF!</definedName>
    <definedName name="BExZVLM4T9ORS4ZWHME46U4Q103C" hidden="1">#REF!</definedName>
    <definedName name="BExZVM7OZWPPRH5YQW50EYMMIW1A" hidden="1">#REF!</definedName>
    <definedName name="BExZVPYGX2C5OSHMZ6F0KBKZ6B1S" hidden="1">#REF!</definedName>
    <definedName name="BExZW5UARC8W9AQNLJX2I5WQWS5F" hidden="1">#REF!</definedName>
    <definedName name="BExZW7HRGN6A9YS41KI2B2UUMJ7X" hidden="1">#REF!</definedName>
    <definedName name="BExZW8ZPNV43UXGOT98FDNIBQHZY" hidden="1">#REF!</definedName>
    <definedName name="BExZWKZ5N3RDXU8MZ8HQVYYD8O0F" hidden="1">#REF!</definedName>
    <definedName name="BExZWSMC9T48W74GFGQCIUJ8ZPP3" hidden="1">#REF!</definedName>
    <definedName name="BExZWUF2V4HY3HI8JN9ZVPRWK1H3" hidden="1">#REF!</definedName>
    <definedName name="BExZWX45URTK9KYDJHEXL1OTZ833" hidden="1">#REF!</definedName>
    <definedName name="BExZX0EWQEZO86WDAD9A4EAEZ012" hidden="1">#REF!</definedName>
    <definedName name="BExZX2T6ZT2DZLYSDJJBPVIT5OK2" hidden="1">#REF!</definedName>
    <definedName name="BExZXKXV8CBFKECIICR0ZD1ZM69S" hidden="1">#REF!</definedName>
    <definedName name="BExZXOJDELULNLEH7WG0OYJT0NJ4" hidden="1">#REF!</definedName>
    <definedName name="BExZXOOTRNUK8LGEAZ8ZCFW9KXQ1" hidden="1">#REF!</definedName>
    <definedName name="BExZXT6JOXNKEDU23DKL8XZAJZIH" hidden="1">#REF!</definedName>
    <definedName name="BExZXUTYW1HWEEZ1LIX4OQWC7HL1" hidden="1">#REF!</definedName>
    <definedName name="BExZXY4NKQL9QD76YMQJ15U1C2G8" hidden="1">#REF!</definedName>
    <definedName name="BExZXYQ7U5G08FQGUIGYT14QCBOF" hidden="1">#REF!</definedName>
    <definedName name="BExZY02V77YJBMODJSWZOYCMPS5X" hidden="1">#REF!</definedName>
    <definedName name="BExZY49QRZIR6CA41LFA9LM6EULU" hidden="1">#REF!</definedName>
    <definedName name="BExZZ2FQA9A8C7CJKMEFQ9VPSLCE" hidden="1">#REF!</definedName>
    <definedName name="BExZZCHAVHW8C2H649KRGVQ0WVRT" hidden="1">#REF!</definedName>
    <definedName name="BExZZD86MJ66WSVJKYHTJ3X2T0YC" hidden="1">#REF!</definedName>
    <definedName name="BExZZTK54OTLF2YB68BHGOS27GEN" hidden="1">#REF!</definedName>
    <definedName name="BExZZX5LHVJ97BV581A76MD1ZCVT" hidden="1">#REF!</definedName>
    <definedName name="BExZZXB3JQQG4SIZS4MRU6NNW7HI" hidden="1">#REF!</definedName>
    <definedName name="BExZZZEMIIFKMLLV4DJKX5TB9R5V" hidden="1">#REF!</definedName>
    <definedName name="BG_Del" hidden="1">15</definedName>
    <definedName name="BG_Ins" hidden="1">4</definedName>
    <definedName name="BG_Mod" hidden="1">6</definedName>
    <definedName name="BI">[22]Баланс95!#REF!</definedName>
    <definedName name="Bld">[28]Parametrs!$B$4:$V$4</definedName>
    <definedName name="bloomberg" hidden="1">{"glc1",#N/A,FALSE,"GLC";"glc2",#N/A,FALSE,"GLC";"glc3",#N/A,FALSE,"GLC";"glc4",#N/A,FALSE,"GLC";"glc5",#N/A,FALSE,"GLC"}</definedName>
    <definedName name="BLPH1" hidden="1">'[29]Read me first'!$D$15</definedName>
    <definedName name="BLPH10" hidden="1">#REF!</definedName>
    <definedName name="BLPH11" hidden="1">#REF!</definedName>
    <definedName name="BLPH12" hidden="1">#REF!</definedName>
    <definedName name="BLPH13" hidden="1">#REF!</definedName>
    <definedName name="BLPH14" hidden="1">#REF!</definedName>
    <definedName name="BLPH15" hidden="1">#REF!</definedName>
    <definedName name="BLPH16" hidden="1">#REF!</definedName>
    <definedName name="BLPH17" hidden="1">#REF!</definedName>
    <definedName name="BLPH18" hidden="1">#REF!</definedName>
    <definedName name="BLPH19" hidden="1">#REF!</definedName>
    <definedName name="BLPH2" hidden="1">'[29]Read me first'!$Z$15</definedName>
    <definedName name="BLPH20" hidden="1">#REF!</definedName>
    <definedName name="BLPH21" hidden="1">#REF!</definedName>
    <definedName name="BLPH22" hidden="1">#REF!</definedName>
    <definedName name="BLPH23" hidden="1">#REF!</definedName>
    <definedName name="BLPH24" hidden="1">#REF!</definedName>
    <definedName name="BLPH25" hidden="1">#REF!</definedName>
    <definedName name="BLPH26" hidden="1">#REF!</definedName>
    <definedName name="BLPH27" hidden="1">#REF!</definedName>
    <definedName name="BLPH28" hidden="1">#REF!</definedName>
    <definedName name="BLPH29" hidden="1">#REF!</definedName>
    <definedName name="BLPH3" hidden="1">#REF!</definedName>
    <definedName name="BLPH30" hidden="1">#REF!</definedName>
    <definedName name="BLPH31" hidden="1">#REF!</definedName>
    <definedName name="BLPH32" hidden="1">#REF!</definedName>
    <definedName name="BLPH33" hidden="1">#REF!</definedName>
    <definedName name="BLPH34" hidden="1">#REF!</definedName>
    <definedName name="BLPH35" hidden="1">#REF!</definedName>
    <definedName name="BLPH36" hidden="1">#REF!</definedName>
    <definedName name="BLPH37" hidden="1">#REF!</definedName>
    <definedName name="BLPH38" hidden="1">#REF!</definedName>
    <definedName name="BLPH39" hidden="1">#REF!</definedName>
    <definedName name="BLPH4" hidden="1">#REF!</definedName>
    <definedName name="BLPH40" hidden="1">#REF!</definedName>
    <definedName name="BLPH41" hidden="1">#REF!</definedName>
    <definedName name="BLPH42" hidden="1">#REF!</definedName>
    <definedName name="BLPH43" hidden="1">#REF!</definedName>
    <definedName name="BLPH44" hidden="1">#REF!</definedName>
    <definedName name="BLPH5" hidden="1">#REF!</definedName>
    <definedName name="BLPH6" hidden="1">#REF!</definedName>
    <definedName name="BLPH7" hidden="1">#REF!</definedName>
    <definedName name="BLPH8" hidden="1">#REF!</definedName>
    <definedName name="BLPH9" hidden="1">#REF!</definedName>
    <definedName name="bnju" hidden="1">{"glcbs",#N/A,FALSE,"GLCBS";"glccsbs",#N/A,FALSE,"GLCCSBS";"glcis",#N/A,FALSE,"GLCIS";"glccsis",#N/A,FALSE,"GLCCSIS";"glcrat1",#N/A,FALSE,"GLC-ratios1"}</definedName>
    <definedName name="BR">[22]Баланс95!#REF!</definedName>
    <definedName name="Button_67">"X2001_PROJECT_N_1_DailySch_List"</definedName>
    <definedName name="BV">[22]Баланс95!#REF!</definedName>
    <definedName name="bvgb" hidden="1">{#N/A,#N/A,TRUE,"Буржуям"}</definedName>
    <definedName name="BVV">'[30]график платежей'!$I$9</definedName>
    <definedName name="c_" hidden="1">{0,0,0,TRUE;0,0,0,0;0,0,0,0;0,0,0,0}</definedName>
    <definedName name="c_bfck">[4]Лист1!$M$12</definedName>
    <definedName name="c_cv">[4]Лист1!$M$13</definedName>
    <definedName name="c_туш">[4]Лист1!$M$14</definedName>
    <definedName name="CA">[22]Баланс95!#REF!</definedName>
    <definedName name="CALC_SHARES">[23]Расчеты!#REF!</definedName>
    <definedName name="capex_depr" hidden="1">{"'domaće količine'!$K$34:$P$47"}</definedName>
    <definedName name="CAPEX_ROW">#REF!</definedName>
    <definedName name="carlos" hidden="1">{#N/A,"10% Success",FALSE,"Sales Forecast";#N/A,#N/A,FALSE,"Sheet2"}</definedName>
    <definedName name="CASH">[22]Баланс95!#REF!</definedName>
    <definedName name="CASH_DEFICIT">[23]Расчеты!$B$43</definedName>
    <definedName name="CashFlows">[31]Reference!$G$20:$G$24</definedName>
    <definedName name="CBWorkbookPriority" hidden="1">-189164748</definedName>
    <definedName name="cc_сах_Б">[4]Лист1!$AT$2</definedName>
    <definedName name="ccc" hidden="1">{"Area1",#N/A,FALSE,"OREWACC";"Area2",#N/A,FALSE,"OREWACC"}</definedName>
    <definedName name="CD">[22]Баланс95!#REF!</definedName>
    <definedName name="Cedis">[32]KEY!#REF!</definedName>
    <definedName name="CelCodePrim" hidden="1">[33]Plan!#REF!</definedName>
    <definedName name="CelCodeSec" hidden="1">[33]Plan!#REF!</definedName>
    <definedName name="CelCritPrim" hidden="1">[33]Plan!#REF!</definedName>
    <definedName name="CelCritSec" hidden="1">[33]Plan!#REF!</definedName>
    <definedName name="Cena">#REF!</definedName>
    <definedName name="CF_7_ktn" hidden="1">{"Output-All",#N/A,FALSE,"Output"}</definedName>
    <definedName name="cf2_" hidden="1">{0,0,0,0}</definedName>
    <definedName name="CGS">[22]Баланс95!#REF!</definedName>
    <definedName name="CHIEF_FIO">#REF!</definedName>
    <definedName name="CIP" hidden="1">{"PRINTME",#N/A,FALSE,"FINAL-10"}</definedName>
    <definedName name="CIQWBGuid" hidden="1">"df539859-ef7e-401e-8ccc-559c5d382ee0"</definedName>
    <definedName name="claudia" hidden="1">{#N/A,"70% Success",FALSE,"Sales Forecast";#N/A,#N/A,FALSE,"Sheet2"}</definedName>
    <definedName name="codelib" hidden="1">[33]Plan!#REF!</definedName>
    <definedName name="codelib1" hidden="1">[33]Plan!#REF!</definedName>
    <definedName name="Coeff2">[34]SENSITIVITY!$C$12</definedName>
    <definedName name="Coeff3">[34]SENSITIVITY!$C$14</definedName>
    <definedName name="Coeff4">[34]SENSITIVITY!$C$16</definedName>
    <definedName name="CoLibMaj" hidden="1">[33]Plan!#REF!</definedName>
    <definedName name="CoLibMineur" hidden="1">[33]Plan!#REF!</definedName>
    <definedName name="Collaterals">[24]Library!$D$2:$D$6</definedName>
    <definedName name="comp">[35]Титул!$B$6</definedName>
    <definedName name="COMPARE" hidden="1">{"Table A,pg 1",#N/A,FALSE,"Table A-Prov GUR";"Table A,pg 2",#N/A,FALSE,"Table A-Prov GUR"}</definedName>
    <definedName name="constr">#REF!</definedName>
    <definedName name="constr_cost">#REF!</definedName>
    <definedName name="constr_psm">#REF!</definedName>
    <definedName name="consultancy">#REF!</definedName>
    <definedName name="COST_A">#REF!</definedName>
    <definedName name="Cost_of_Sales">[21]Sensitivity!$S$5</definedName>
    <definedName name="Covenants">[31]Reference!$G$6:$G$7</definedName>
    <definedName name="Cr_Amount">#REF!</definedName>
    <definedName name="Cr_Amount1">[36]Данные!$D$19</definedName>
    <definedName name="CREDIT_FRA">[23]Расчеты!$C$34</definedName>
    <definedName name="CREDIT_INT">[23]Расчеты!$B$34</definedName>
    <definedName name="CREDIT_PERIOD">#REF!</definedName>
    <definedName name="CS">[22]Баланс95!#REF!</definedName>
    <definedName name="CSV">[22]Баланс95!#REF!</definedName>
    <definedName name="cu00.UserArea" hidden="1">[37]cus_HK1033!$B$2:$P$192</definedName>
    <definedName name="CUR">#REF!</definedName>
    <definedName name="CURLANGUAGE">[23]Расчеты!$B$40</definedName>
    <definedName name="Currencies">[24]Library!$C$2:$C$10</definedName>
    <definedName name="currency">[28]Parametrs!$B$8:$G$8</definedName>
    <definedName name="CURRENCY_NAME">[23]Расчеты!$C$55</definedName>
    <definedName name="CURRENCY_RATE">[28]Parametrs!$B$11:$CRF$11</definedName>
    <definedName name="CUSPassword" hidden="1">"MDL238GBWP678SDA16)E^CBC"</definedName>
    <definedName name="d" hidden="1">{#N/A,#N/A,FALSE,"Aging Summary";#N/A,#N/A,FALSE,"Ratio Analysis";#N/A,#N/A,FALSE,"Test 120 Day Accts";#N/A,#N/A,FALSE,"Tickmarks"}</definedName>
    <definedName name="dadadwdwda" hidden="1">{"assets",#N/A,FALSE,"historicBS";"liab",#N/A,FALSE,"historicBS";"is",#N/A,FALSE,"historicIS";"ratios",#N/A,FALSE,"ratios"}</definedName>
    <definedName name="dasd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Dat_prosp">[38]F1_SPRAV!$B$4</definedName>
    <definedName name="DATA_01" hidden="1">#REF!</definedName>
    <definedName name="DATA_02" hidden="1">#REF!</definedName>
    <definedName name="DATA_03" hidden="1">#REF!</definedName>
    <definedName name="DATA_04" hidden="1">#REF!</definedName>
    <definedName name="DATA_05" hidden="1">#REF!</definedName>
    <definedName name="DATA_06" hidden="1">#REF!</definedName>
    <definedName name="DATA_07" hidden="1">#REF!</definedName>
    <definedName name="DATA_08" hidden="1">#REF!</definedName>
    <definedName name="DATA_ALLLEASES">#REF!</definedName>
    <definedName name="DATA_ALLLOANS">#REF!</definedName>
    <definedName name="DATA_ASSET_1">#REF!</definedName>
    <definedName name="DATA_ASSET_2">#REF!</definedName>
    <definedName name="DATA_ASSET_3">#REF!</definedName>
    <definedName name="DATA_ASSET_4">#REF!</definedName>
    <definedName name="DATA_ASSET_5">#REF!</definedName>
    <definedName name="DATA_ASSET_END">#REF!</definedName>
    <definedName name="DATA_GE_1_FROM">#REF!</definedName>
    <definedName name="DATA_GE_1_TO">#REF!</definedName>
    <definedName name="DATA_GE_2_FROM">#REF!</definedName>
    <definedName name="DATA_GE_2_TO">#REF!</definedName>
    <definedName name="DATA_GE_3_FROM">#REF!</definedName>
    <definedName name="DATA_GE_3_TO">#REF!</definedName>
    <definedName name="DATA_LEASES">#REF!</definedName>
    <definedName name="DATA_LOANS">#REF!</definedName>
    <definedName name="DATA_LOANSST">#REF!</definedName>
    <definedName name="DATA_PERS_1">#REF!</definedName>
    <definedName name="DATA_PERS_2">#REF!</definedName>
    <definedName name="DATA_PERS_3">#REF!</definedName>
    <definedName name="DATA_SHARES">#REF!</definedName>
    <definedName name="data83">'[39]Balance Sheet'!#REF!</definedName>
    <definedName name="data84">'[39]Balance Sheet'!#REF!</definedName>
    <definedName name="data85">'[39]Balance Sheet'!#REF!</definedName>
    <definedName name="data86">'[39]Balance Sheet'!#REF!</definedName>
    <definedName name="data87">'[39]Balance Sheet'!#REF!</definedName>
    <definedName name="data88">'[39]Balance Sheet'!#REF!</definedName>
    <definedName name="data89">'[39]Balance Sheet'!#REF!</definedName>
    <definedName name="data90">'[39]Balance Sheet'!#REF!</definedName>
    <definedName name="data91">'[39]Balance Sheet'!#REF!</definedName>
    <definedName name="data92">'[39]Balance Sheet'!#REF!</definedName>
    <definedName name="data93">'[39]Balance Sheet'!#REF!</definedName>
    <definedName name="data94">'[39]Balance Sheet'!#REF!</definedName>
    <definedName name="data95">'[39]Balance Sheet'!#REF!</definedName>
    <definedName name="data96">'[39]Balance Sheet'!#REF!</definedName>
    <definedName name="data97">'[39]Balance Sheet'!#REF!</definedName>
    <definedName name="data98">'[39]Balance Sheet'!#REF!</definedName>
    <definedName name="data99">'[39]Balance Sheet'!#REF!</definedName>
    <definedName name="DATAPROD_1">#REF!</definedName>
    <definedName name="DATAPROD_2">#REF!</definedName>
    <definedName name="DATAPROD_3">#REF!</definedName>
    <definedName name="DATAPROD_4">#REF!</definedName>
    <definedName name="DATAPROD_5">#REF!</definedName>
    <definedName name="DATAPROD_6">#REF!</definedName>
    <definedName name="date">'[40]Master Inputs Start Here'!$D$14</definedName>
    <definedName name="Date_From">#REF!</definedName>
    <definedName name="Date_To">#REF!</definedName>
    <definedName name="dbo_GL360100">#REF!</definedName>
    <definedName name="dcfdfsd" hidden="1">#REF!</definedName>
    <definedName name="DCS">[22]Баланс95!#REF!</definedName>
    <definedName name="dd" hidden="1">{"'Grafik Kontrol'!$A$1:$J$8"}</definedName>
    <definedName name="ddd">#REF!</definedName>
    <definedName name="dddd" hidden="1">{#VALUE!,#N/A,TRUE,0}</definedName>
    <definedName name="dddddd" hidden="1">#REF!</definedName>
    <definedName name="ddddddd" hidden="1">#REF!</definedName>
    <definedName name="ddddddddddd" hidden="1">#REF!</definedName>
    <definedName name="ddurch" hidden="1">{"ÜBER mit FW","THU",FALSE,"HORE KORR!";"ÜBERSICHT",#N/A,FALSE,"BUDGET 1997_98";"ÜBER mit FW",#N/A,FALSE,"IST KUM KORR!!";"ÜBERSICHT",#N/A,FALSE,"PLAN KUM"}</definedName>
    <definedName name="dduu" hidden="1">{"ÜBERSICHT",#N/A,FALSE,"ABW KUM";"Kostenzoom",#N/A,FALSE,"ABW KUM";"ÜBERSICHT",#N/A,FALSE,"ABW HORE";"Kostenzoom",#N/A,FALSE,"ABW HORE"}</definedName>
    <definedName name="deal">'[41]Dropdown list'!$A$2:$A$4</definedName>
    <definedName name="DEBIT_FRA">[23]Расчеты!$C$33</definedName>
    <definedName name="DEBIT_INT">[23]Расчеты!$B$33</definedName>
    <definedName name="DEBIT_PERIOD">#REF!</definedName>
    <definedName name="DEG">#REF!</definedName>
    <definedName name="dfb" hidden="1">#REF!</definedName>
    <definedName name="dfg" hidden="1">{#N/A,#N/A,FALSE,"Aging Summary";#N/A,#N/A,FALSE,"Ratio Analysis";#N/A,#N/A,FALSE,"Test 120 Day Accts";#N/A,#N/A,FALSE,"Tickmarks"}</definedName>
    <definedName name="dfgdf" hidden="1">{"glc1",#N/A,FALSE,"GLC";"glc2",#N/A,FALSE,"GLC";"glc3",#N/A,FALSE,"GLC";"glc4",#N/A,FALSE,"GLC";"glc5",#N/A,FALSE,"GLC"}</definedName>
    <definedName name="dfgfhg" hidden="1">{"glc1",#N/A,FALSE,"GLC";"glc2",#N/A,FALSE,"GLC";"glc3",#N/A,FALSE,"GLC";"glc4",#N/A,FALSE,"GLC";"glc5",#N/A,FALSE,"GLC"}</definedName>
    <definedName name="dfgh" hidden="1">{"glc1",#N/A,FALSE,"GLC";"glc2",#N/A,FALSE,"GLC";"glc3",#N/A,FALSE,"GLC";"glc4",#N/A,FALSE,"GLC";"glc5",#N/A,FALSE,"GLC"}</definedName>
    <definedName name="dfghfg" hidden="1">{"'Sheet1'!$A$1:$G$85"}</definedName>
    <definedName name="dfghjdgj">[0]!dfghjdgj</definedName>
    <definedName name="dfgjghj">[0]!dfgjghj</definedName>
    <definedName name="dfgs" hidden="1">{"glc1",#N/A,FALSE,"GLC";"glc2",#N/A,FALSE,"GLC";"glc3",#N/A,FALSE,"GLC";"glc4",#N/A,FALSE,"GLC";"glc5",#N/A,FALSE,"GLC"}</definedName>
    <definedName name="dfhdgjh">#REF!</definedName>
    <definedName name="dfjg">[0]!dfjg</definedName>
    <definedName name="dfjgyhjdty">[0]!dfjgyhjdty</definedName>
    <definedName name="dfs" hidden="1">#N/A</definedName>
    <definedName name="dfsaq" hidden="1">{"Output-Min",#N/A,FALSE,"Output"}</definedName>
    <definedName name="dfzb" hidden="1">#REF!</definedName>
    <definedName name="dg" hidden="1">{"Area1",#N/A,FALSE,"OREWACC";"Area2",#N/A,FALSE,"OREWACC"}</definedName>
    <definedName name="dgfhdgj">[0]!dgfhdgj</definedName>
    <definedName name="dgfjdgh">[0]!dgfjdgh</definedName>
    <definedName name="dghdgh">[0]!dghdgh</definedName>
    <definedName name="dghjd">[0]!dghjd</definedName>
    <definedName name="dh" hidden="1">{"glc1",#N/A,FALSE,"GLC";"glc2",#N/A,FALSE,"GLC";"glc3",#N/A,FALSE,"GLC";"glc4",#N/A,FALSE,"GLC";"glc5",#N/A,FALSE,"GLC"}</definedName>
    <definedName name="disc1">#REF!</definedName>
    <definedName name="disc2">#REF!</definedName>
    <definedName name="disc3">#REF!</definedName>
    <definedName name="DISCOUT_FOR_PER">[23]Расчеты!$B$26</definedName>
    <definedName name="DIVIDEND_SHARE">#REF!</definedName>
    <definedName name="dividends_net">[32]KEY!#REF!</definedName>
    <definedName name="djghj">[0]!djghj</definedName>
    <definedName name="djygdtyj">[0]!djygdtyj</definedName>
    <definedName name="dkhnd" hidden="1">{"ÜBER mit FW","THU",FALSE,"HORE KORR!";"ÜBERSICHT",#N/A,FALSE,"BUDGET 1997_98";"ÜBER mit FW",#N/A,FALSE,"IST KUM KORR!!";"ÜBERSICHT",#N/A,FALSE,"PLAN KUM"}</definedName>
    <definedName name="DME_Dirty" hidden="1">"False"</definedName>
    <definedName name="DME_LocalFile" hidden="1">"True"</definedName>
    <definedName name="dmghd">[0]!dmghd</definedName>
    <definedName name="DOC_NUM">#REF!</definedName>
    <definedName name="dochka" hidden="1">#N/A</definedName>
    <definedName name="dol">#REF!</definedName>
    <definedName name="dolt">#REF!</definedName>
    <definedName name="Dominioni">[4]Лист1!#REF!</definedName>
    <definedName name="DOR">#REF!</definedName>
    <definedName name="dsccsaacas" hidden="1">{"COM",#N/A,FALSE,"800 10th"}</definedName>
    <definedName name="dsfd" hidden="1">{#N/A,#N/A,FALSE,"Aging Summary";#N/A,#N/A,FALSE,"Ratio Analysis";#N/A,#N/A,FALSE,"Test 120 Day Accts";#N/A,#N/A,FALSE,"Tickmarks"}</definedName>
    <definedName name="DT">#REF!</definedName>
    <definedName name="dtyjtd">[0]!dtyjtd</definedName>
    <definedName name="dtyktgjhy">[0]!dtyktgjhy</definedName>
    <definedName name="DV">[22]Баланс95!#REF!</definedName>
    <definedName name="DВ18">'[42]матер.(октябрь)'!#REF!</definedName>
    <definedName name="e" hidden="1">{"risultati",#N/A,FALSE,"Revenues";"ricavi advertising",#N/A,FALSE,"Revenues";"ricavi e-commerce",#N/A,FALSE,"Revenues";"ricavi fee for content",#N/A,FALSE,"Revenues";"costi infrastruttura",#N/A,FALSE,"Costi";"altri costi",#N/A,FALSE,"Costi";"conto economico",#N/A,FALSE,"Conto economico";"Flussi di cassa",#N/A,FALSE,"FCF"}</definedName>
    <definedName name="ECI">[4]Лист1!#REF!</definedName>
    <definedName name="Ed1.">[4]Лист1!#REF!</definedName>
    <definedName name="edsaq" hidden="1">{"glc1",#N/A,FALSE,"GLC";"glc2",#N/A,FALSE,"GLC";"glc3",#N/A,FALSE,"GLC";"glc4",#N/A,FALSE,"GLC";"glc5",#N/A,FALSE,"GLC"}</definedName>
    <definedName name="edsw" hidden="1">{"glc1",#N/A,FALSE,"GLC";"glc2",#N/A,FALSE,"GLC";"glc3",#N/A,FALSE,"GLC";"glc4",#N/A,FALSE,"GLC";"glc5",#N/A,FALSE,"GLC"}</definedName>
    <definedName name="ee" hidden="1">{"risultati",#N/A,FALSE,"Revenues";"ricavi advertising",#N/A,FALSE,"Revenues";"ricavi e-commerce",#N/A,FALSE,"Revenues";"ricavi fee for content",#N/A,FALSE,"Revenues";"costi infrastruttura",#N/A,FALSE,"Costi";"altri costi",#N/A,FALSE,"Costi";"conto economico",#N/A,FALSE,"Conto economico";"Flussi di cassa",#N/A,FALSE,"FCF"}</definedName>
    <definedName name="eee" hidden="1">{"NWN_Q1810",#N/A,FALSE,"Q1810_1.V";"NWN_Q1412",#N/A,FALSE,"Q1412_1"}</definedName>
    <definedName name="EEEE" hidden="1">{"'domaće količine'!$K$34:$P$47"}</definedName>
    <definedName name="eeeee" hidden="1">{#VALUE!,#N/A,TRUE,0}</definedName>
    <definedName name="efsefsefse" hidden="1">{#N/A,#N/A,FALSE,"Aging Summary";#N/A,#N/A,FALSE,"Ratio Analysis";#N/A,#N/A,FALSE,"Test 120 Day Accts";#N/A,#N/A,FALSE,"Tickmarks"}</definedName>
    <definedName name="EMF">[4]Лист1!#REF!</definedName>
    <definedName name="Emp_No">#N/A</definedName>
    <definedName name="Enterprize">[43]Настройка!$A$5</definedName>
    <definedName name="EPCS">[22]Баланс95!#REF!</definedName>
    <definedName name="er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ergfd" hidden="1">{"ÜBERSICHT",#N/A,FALSE,"ABW KUM";"Kostenzoom",#N/A,FALSE,"ABW KUM";"ÜBERSICHT",#N/A,FALSE,"ABW HORE";"Kostenzoom",#N/A,FALSE,"ABW HORE"}</definedName>
    <definedName name="ert" hidden="1">{#N/A,#N/A,FALSE,"Aging Summary";#N/A,#N/A,FALSE,"Ratio Analysis";#N/A,#N/A,FALSE,"Test 120 Day Accts";#N/A,#N/A,FALSE,"Tickmarks"}</definedName>
    <definedName name="ertherhtr">[0]!ertherhtr</definedName>
    <definedName name="erthetse">[0]!erthetse</definedName>
    <definedName name="erty" hidden="1">{#N/A,#N/A,TRUE,"Буржуям"}</definedName>
    <definedName name="esnrc7c1" hidden="1">[44]comps!$A$47</definedName>
    <definedName name="etere" hidden="1">{"'Sheet1'!$A$12:$K$107"}</definedName>
    <definedName name="etruety">[0]!etruety</definedName>
    <definedName name="etyie5ty">[0]!etyie5ty</definedName>
    <definedName name="etyutye">[0]!etyutye</definedName>
    <definedName name="euity7iyu">[0]!euity7iyu</definedName>
    <definedName name="EUR">#REF!</definedName>
    <definedName name="EURO_RATE">[28]Parametrs!#REF!</definedName>
    <definedName name="eurutryut">[0]!eurutryut</definedName>
    <definedName name="EV">[45]курс!$C$4</definedName>
    <definedName name="EV__LASTREFTIME__" hidden="1">38419.7794560185</definedName>
    <definedName name="ExactAddinConnection" hidden="1">"702"</definedName>
    <definedName name="ExactAddinConnection.702" hidden="1">"server-3;706;JitkaK;1"</definedName>
    <definedName name="ExactAddinConnection.706" hidden="1">"server-3;706;JitkaK;1"</definedName>
    <definedName name="ExactAddinConnection.711" hidden="1">"server-3;711;jkotrousova;1"</definedName>
    <definedName name="Excel_BuiltIn__FilterDatabase_1">"$#ССЫЛ!.#ССЫЛ!#ССЫЛ!:#ССЫЛ!#ССЫЛ!"</definedName>
    <definedName name="Excel_BuiltIn__FilterDatabase_1_1">"$#ССЫЛ!.#ССЫЛ!#ССЫЛ!:#ССЫЛ!#ССЫЛ!"</definedName>
    <definedName name="Excel_BuiltIn__FilterDatabase_1_1_1">"$#ССЫЛ!.#ССЫЛ!#ССЫЛ!:#ССЫЛ!#ССЫЛ!"</definedName>
    <definedName name="Excel_BuiltIn__FilterDatabase_1_1_1_1">"$#ССЫЛ!.#ССЫЛ!#ССЫЛ!:#ССЫЛ!#ССЫЛ!"</definedName>
    <definedName name="Excel_BuiltIn__FilterDatabase_1_1_2">"$#ССЫЛ!.#ССЫЛ!#ССЫЛ!:#ССЫЛ!#ССЫЛ!"</definedName>
    <definedName name="Excel_BuiltIn__FilterDatabase_1_2">"$#ССЫЛ!.#ССЫЛ!#ССЫЛ!:#ССЫЛ!#ССЫЛ!"</definedName>
    <definedName name="Excel_BuiltIn__FilterDatabase_10_1">#REF!</definedName>
    <definedName name="Excel_BuiltIn__FilterDatabase_11_1">#REF!</definedName>
    <definedName name="Excel_BuiltIn__FilterDatabase_12_1">#REF!</definedName>
    <definedName name="Excel_BuiltIn__FilterDatabase_13_1">#REF!</definedName>
    <definedName name="Excel_BuiltIn__FilterDatabase_14_1">#REF!</definedName>
    <definedName name="Excel_BuiltIn__FilterDatabase_2">#REF!</definedName>
    <definedName name="Excel_BuiltIn__FilterDatabase_3_1">#REF!</definedName>
    <definedName name="Excel_BuiltIn__FilterDatabase_3_1_1">#REF!</definedName>
    <definedName name="Excel_BuiltIn__FilterDatabase_4_1">#REF!</definedName>
    <definedName name="Excel_BuiltIn__FilterDatabase_4_1_1">#REF!</definedName>
    <definedName name="Excel_BuiltIn__FilterDatabase_5_1">#REF!</definedName>
    <definedName name="Excel_BuiltIn__FilterDatabase_5_1_1">#REF!</definedName>
    <definedName name="Excel_BuiltIn__FilterDatabase_6_1">#REF!</definedName>
    <definedName name="Excel_BuiltIn__FilterDatabase_7_1">#REF!</definedName>
    <definedName name="Excel_BuiltIn__FilterDatabase_8_1">#REF!</definedName>
    <definedName name="Excel_BuiltIn__FilterDatabase_8_1_1">#REF!</definedName>
    <definedName name="Excel_BuiltIn__FilterDatabase_9_1">#REF!</definedName>
    <definedName name="Excel_BuiltIn_Print_Area_1">[46]Сводная!$B$3:$E$94</definedName>
    <definedName name="Excel_BuiltIn_Print_Area_1_1">"$#ССЫЛ!.#ССЫЛ!#ССЫЛ!:#ССЫЛ!#ССЫЛ!"</definedName>
    <definedName name="Excel_BuiltIn_Print_Area_1_1_1">"$#ССЫЛ!.#ССЫЛ!#ССЫЛ!:#ССЫЛ!#ССЫЛ!"</definedName>
    <definedName name="Excel_BuiltIn_Print_Area_1_1_1_1">"$#ССЫЛ!.#ССЫЛ!#ССЫЛ!:#ССЫЛ!#ССЫЛ!"</definedName>
    <definedName name="Excel_BuiltIn_Print_Area_1_1_2">"$#ССЫЛ!.#ССЫЛ!#ССЫЛ!:#ССЫЛ!#ССЫЛ!"</definedName>
    <definedName name="Excel_BuiltIn_Print_Area_1_2">"$#ССЫЛ!.#ССЫЛ!#ССЫЛ!:#ССЫЛ!#ССЫЛ!"</definedName>
    <definedName name="Excel_BuiltIn_Print_Area_3">#REF!</definedName>
    <definedName name="Excel_BuiltIn_Print_Area_31_1">'[47]анализ площадей'!#REF!</definedName>
    <definedName name="Excel_BuiltIn_Print_Area_5">#REF!</definedName>
    <definedName name="Excel_BuiltIn_Print_Area_5_1">#REF!</definedName>
    <definedName name="Excel_BuiltIn_Print_Area_6">#REF!</definedName>
    <definedName name="Excel_BuiltIn_Print_Area_7">#REF!</definedName>
    <definedName name="Excel_BuiltIn_Print_Area_8">#REF!</definedName>
    <definedName name="Excel_BuiltIn_Print_Area_9">#REF!</definedName>
    <definedName name="Excel_BuiltIn_Print_Area_9_1">#REF!</definedName>
    <definedName name="Exch_rate">[32]KEY!#REF!</definedName>
    <definedName name="eyjhty">[0]!eyjhty</definedName>
    <definedName name="f" hidden="1">{"ÜBERSICHT",#N/A,FALSE,"ABW KUM";"Kostenzoom",#N/A,FALSE,"ABW KUM";"ÜBERSICHT",#N/A,FALSE,"ABW HORE";"Kostenzoom",#N/A,FALSE,"ABW HORE"}</definedName>
    <definedName name="fad" hidden="1">{#N/A,"70% Success",FALSE,"Sales Forecast";#N/A,#N/A,FALSE,"Sheet2"}</definedName>
    <definedName name="Fall">#REF!</definedName>
    <definedName name="Fall1">#REF!</definedName>
    <definedName name="Fall2">#REF!</definedName>
    <definedName name="fddhghjgh">[0]!fddhghjgh</definedName>
    <definedName name="fdgkghj">[0]!fdgkghj</definedName>
    <definedName name="fdhjhj">[0]!fdhjhj</definedName>
    <definedName name="FDP_0_1_aUrv" hidden="1">#REF!</definedName>
    <definedName name="FDP_1_1_aUrv" hidden="1">#REF!</definedName>
    <definedName name="FDP_10_1_aDrv" hidden="1">#REF!</definedName>
    <definedName name="FDP_107_1_aUrv" hidden="1">#REF!</definedName>
    <definedName name="FDP_109_1_aUrv" hidden="1">#REF!</definedName>
    <definedName name="FDP_11_1_aDrv" hidden="1">#REF!</definedName>
    <definedName name="FDP_110_1_aUrv" hidden="1">#REF!</definedName>
    <definedName name="FDP_111_1_aUrv" hidden="1">#REF!</definedName>
    <definedName name="FDP_112_1_aUrv" hidden="1">#REF!</definedName>
    <definedName name="FDP_113_1_aUrv" hidden="1">#REF!</definedName>
    <definedName name="FDP_114_1_aUrv" hidden="1">#REF!</definedName>
    <definedName name="FDP_115_1_aUrv" hidden="1">#REF!</definedName>
    <definedName name="FDP_116_1_aUrv" hidden="1">#REF!</definedName>
    <definedName name="FDP_117_1_aUrv" hidden="1">#REF!</definedName>
    <definedName name="FDP_118_1_aUrv" hidden="1">#REF!</definedName>
    <definedName name="FDP_119_1_aDrv" hidden="1">#REF!</definedName>
    <definedName name="FDP_12_1_aDrv" hidden="1">#REF!</definedName>
    <definedName name="FDP_13_1_aDrv" hidden="1">#REF!</definedName>
    <definedName name="FDP_14_1_aDrv" hidden="1">#REF!</definedName>
    <definedName name="FDP_15_1_aDrv" hidden="1">#REF!</definedName>
    <definedName name="FDP_16_1_aDrv" hidden="1">#REF!</definedName>
    <definedName name="FDP_17_1_aUrv" hidden="1">#REF!</definedName>
    <definedName name="FDP_18_1_aUrv" hidden="1">#REF!</definedName>
    <definedName name="FDP_19_1_aUrv" hidden="1">#REF!</definedName>
    <definedName name="FDP_2_1_aUrv" hidden="1">#REF!</definedName>
    <definedName name="FDP_20_1_aUrv" hidden="1">#REF!</definedName>
    <definedName name="FDP_21_1_aUrv" hidden="1">#REF!</definedName>
    <definedName name="FDP_22_1_aUrv" hidden="1">#REF!</definedName>
    <definedName name="FDP_23_1_aUrv" hidden="1">#REF!</definedName>
    <definedName name="FDP_24_1_aUrv" hidden="1">#REF!</definedName>
    <definedName name="FDP_25_1_aUrv" hidden="1">#REF!</definedName>
    <definedName name="FDP_26_1_aUrv" hidden="1">#REF!</definedName>
    <definedName name="FDP_27_1_aUrv" hidden="1">#REF!</definedName>
    <definedName name="FDP_28_1_aUrv" hidden="1">#REF!</definedName>
    <definedName name="FDP_29_1_aUrv" hidden="1">#REF!</definedName>
    <definedName name="FDP_30_1_aUrv" hidden="1">#REF!</definedName>
    <definedName name="FDP_31_1_aUrv" hidden="1">#REF!</definedName>
    <definedName name="FDP_32_1_aUrv" hidden="1">#REF!</definedName>
    <definedName name="FDP_33_1_aUrv" hidden="1">#REF!</definedName>
    <definedName name="FDP_34_1_aUrv" hidden="1">#REF!</definedName>
    <definedName name="FDP_35_1_aUrv" hidden="1">#REF!</definedName>
    <definedName name="FDP_36_1_aUrv" hidden="1">#REF!</definedName>
    <definedName name="FDP_37_1_aUrv" hidden="1">#REF!</definedName>
    <definedName name="FDP_38_1_aUrv" hidden="1">#REF!</definedName>
    <definedName name="FDP_39_1_aUrv" hidden="1">#REF!</definedName>
    <definedName name="FDP_40_1_aUrv" hidden="1">#REF!</definedName>
    <definedName name="FDP_41_1_aUrv" hidden="1">#REF!</definedName>
    <definedName name="FDP_42_1_aUrv" hidden="1">#REF!</definedName>
    <definedName name="FDP_43_1_aUrv" hidden="1">#REF!</definedName>
    <definedName name="FDP_44_1_aUrv" hidden="1">#REF!</definedName>
    <definedName name="FDP_45_1_aUrv" hidden="1">#REF!</definedName>
    <definedName name="FDP_46_1_aUrv" hidden="1">#REF!</definedName>
    <definedName name="FDP_47_1_aUrv" hidden="1">#REF!</definedName>
    <definedName name="FDP_48_1_aDrv" hidden="1">#REF!</definedName>
    <definedName name="FDP_49_1_aDrv" hidden="1">#REF!</definedName>
    <definedName name="FDP_50_1_aUrv" hidden="1">#REF!</definedName>
    <definedName name="FDP_51_1_aUrv" hidden="1">#REF!</definedName>
    <definedName name="FDP_51_1_rUrv" hidden="1">#REF!</definedName>
    <definedName name="FDP_52_1_aUrv" hidden="1">#REF!</definedName>
    <definedName name="FDP_53_1_aUrv" hidden="1">#REF!</definedName>
    <definedName name="FDP_6_1_aUdv" hidden="1">#REF!</definedName>
    <definedName name="FDP_6_1_dUdv" hidden="1">#REF!</definedName>
    <definedName name="FDP_7_1_aUdv" hidden="1">#REF!</definedName>
    <definedName name="FDP_8_1_aDrv" hidden="1">#REF!</definedName>
    <definedName name="FDP_9_1_aDrv" hidden="1">#REF!</definedName>
    <definedName name="Federal_Tax_Rate">#REF!</definedName>
    <definedName name="fff" hidden="1">{#N/A,#N/A,FALSE,"Aging Summary";#N/A,#N/A,FALSE,"Ratio Analysis";#N/A,#N/A,FALSE,"Test 120 Day Accts";#N/A,#N/A,FALSE,"Tickmarks"}</definedName>
    <definedName name="fg" hidden="1">{"'Sheet1'!$A$1:$G$85"}</definedName>
    <definedName name="fgbgfbg" hidden="1">{"'Sheet1'!$A$12:$K$107"}</definedName>
    <definedName name="fgfds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fgfgfg" hidden="1">{"ÜBERSICHT",#N/A,FALSE,"ABW KUM";"Kostenzoom",#N/A,FALSE,"ABW KUM";"ÜBERSICHT",#N/A,FALSE,"ABW HORE";"Kostenzoom",#N/A,FALSE,"ABW HORE"}</definedName>
    <definedName name="fghdj">[0]!fghdj</definedName>
    <definedName name="fgjdjg">[0]!fgjdjg</definedName>
    <definedName name="fhgfkjghk">[0]!fhgfkjghk</definedName>
    <definedName name="Filename">#REF!</definedName>
    <definedName name="Filialen" hidden="1">{"ÜBER mit FW","THU",FALSE,"HORE KORR!";"ÜBERSICHT",#N/A,FALSE,"BUDGET 1997_98";"ÜBER mit FW",#N/A,FALSE,"IST KUM KORR!!";"ÜBERSICHT",#N/A,FALSE,"PLAN KUM"}</definedName>
    <definedName name="financing">[32]KEY!#REF!</definedName>
    <definedName name="fix">[24]Library!$E$2:$E$47</definedName>
    <definedName name="fjdgj">[0]!fjdgj</definedName>
    <definedName name="fjdgjgjk">[0]!fjdgjgjk</definedName>
    <definedName name="fjdgjkhj">[0]!fjdgjkhj</definedName>
    <definedName name="fjgfh">[0]!fjgfh</definedName>
    <definedName name="fjhgd" hidden="1">{"'Sheet1'!$A$1:$G$85"}</definedName>
    <definedName name="FKdisk">"Диагр. 2"</definedName>
    <definedName name="FLL_NAME">#REF!</definedName>
    <definedName name="Floor">[28]Parametrs!$B$7:$AI$7</definedName>
    <definedName name="footer">#REF!</definedName>
    <definedName name="Functional_Uses">[48]Inputs_Assumptions!$B$25:$G$25</definedName>
    <definedName name="Fund_name">[49]AccReport!#REF!</definedName>
    <definedName name="fvfbgfh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FX_Rates">[50]Reference!$G$32:$I$73</definedName>
    <definedName name="G" hidden="1">{"'Grafik Kontrol'!$A$1:$J$8"}</definedName>
    <definedName name="gdhg">[0]!gdhg</definedName>
    <definedName name="GE_COUNT_1">[23]Расчеты!$B$48</definedName>
    <definedName name="GE_COUNT_2">[23]Расчеты!$B$49</definedName>
    <definedName name="GE_COUNT_3">[23]Расчеты!$B$50</definedName>
    <definedName name="GELLL" hidden="1">{"'Grafik Kontrol'!$A$1:$J$8"}</definedName>
    <definedName name="general_exp." hidden="1">{#N/A,"100% Success",TRUE,"Sales Forecast";#N/A,#N/A,TRUE,"Sheet2"}</definedName>
    <definedName name="GetSANDValue">[51]!GetSANDValue</definedName>
    <definedName name="GetVal">[51]!GetVal</definedName>
    <definedName name="gfjdgkfjk">[0]!gfjdgkfjk</definedName>
    <definedName name="gfjgh">[0]!gfjgh</definedName>
    <definedName name="gfjghjf">[0]!gfjghjf</definedName>
    <definedName name="gfsahgsdhf" hidden="1">#REF!</definedName>
    <definedName name="gg" hidden="1">{"Ergebnis",#N/A,FALSE,"HORE 1997_01ST";"Steuern",#N/A,FALSE,"HORE 1997_01ST"}</definedName>
    <definedName name="GGG" hidden="1">{#N/A,#N/A,FALSE,"Расчет вспомогательных"}</definedName>
    <definedName name="gh" hidden="1">{"'Prices'!$A$4:$J$27"}</definedName>
    <definedName name="ghd" hidden="1">{#N/A,#N/A,FALSE,"Aging Summary";#N/A,#N/A,FALSE,"Ratio Analysis";#N/A,#N/A,FALSE,"Test 120 Day Accts";#N/A,#N/A,FALSE,"Tickmarks"}</definedName>
    <definedName name="ghghghghghgh" hidden="1">{"glc1",#N/A,FALSE,"GLC";"glc2",#N/A,FALSE,"GLC";"glc3",#N/A,FALSE,"GLC";"glc4",#N/A,FALSE,"GLC";"glc5",#N/A,FALSE,"GLC"}</definedName>
    <definedName name="ghhg" hidden="1">{"'Grafik Kontrol'!$A$1:$J$8"}</definedName>
    <definedName name="ghhgh" hidden="1">{"assets",#N/A,FALSE,"historicBS";"liab",#N/A,FALSE,"historicBS";"is",#N/A,FALSE,"historicIS";"ratios",#N/A,FALSE,"ratios"}</definedName>
    <definedName name="ghjdetre">[0]!ghjdetre</definedName>
    <definedName name="ghjdgj">[0]!ghjdgj</definedName>
    <definedName name="ghjhfj">#REF!</definedName>
    <definedName name="GHJIH">[22]Баланс95!#REF!</definedName>
    <definedName name="gjdfkfgh">[0]!gjdfkfgh</definedName>
    <definedName name="gjgfkfhjk">[0]!gjgfkfhjk</definedName>
    <definedName name="gjgh" hidden="1">{"'Prices'!$A$4:$J$27"}</definedName>
    <definedName name="gjgj">[0]!gjgj</definedName>
    <definedName name="gjgjgjgjjggj" hidden="1">{"glc1",#N/A,FALSE,"GLC";"glc2",#N/A,FALSE,"GLC";"glc3",#N/A,FALSE,"GLC";"glc4",#N/A,FALSE,"GLC";"glc5",#N/A,FALSE,"GLC"}</definedName>
    <definedName name="gkkhj">[0]!gkkhj</definedName>
    <definedName name="GoAssetChart">[0]!GoAssetChart</definedName>
    <definedName name="GoBack">[0]!GoBack</definedName>
    <definedName name="GoBalanceSheet">[0]!GoBalanceSheet</definedName>
    <definedName name="GoCashFlow">[0]!GoCashFlow</definedName>
    <definedName name="GoData">[0]!GoData</definedName>
    <definedName name="GoIncomeChart">[0]!GoIncomeChart</definedName>
    <definedName name="Grahp" hidden="1">[7]T1!#REF!</definedName>
    <definedName name="Grand_Total">#N/A</definedName>
    <definedName name="Graph_Cum._financing_surplus">[32]KEY!#REF!</definedName>
    <definedName name="Graph_Financing_surplus">[32]KEY!#REF!</definedName>
    <definedName name="Graph_Operating_expenses">[32]KEY!#REF!</definedName>
    <definedName name="Graph_Operating_profit">[32]KEY!#REF!</definedName>
    <definedName name="Graph_Profit_after_tax">[32]KEY!#REF!</definedName>
    <definedName name="Graph_Profit_before_tax">[32]KEY!#REF!</definedName>
    <definedName name="Graph_sales">[32]KEY!#REF!</definedName>
    <definedName name="Graph_Years">[32]KEY!#REF!</definedName>
    <definedName name="guhtgjhy">[0]!guhtgjhy</definedName>
    <definedName name="gv" hidden="1">{#N/A,#N/A,TRUE,"Буржуям"}</definedName>
    <definedName name="h">#REF!</definedName>
    <definedName name="Header">#REF!</definedName>
    <definedName name="headrom">[31]Reference!$G$10:$G$17</definedName>
    <definedName name="Headroom">[31]Reference!$G$10:$G$17</definedName>
    <definedName name="hell" hidden="1">{"Area1",#N/A,FALSE,"OREWACC";"Area2",#N/A,FALSE,"OREWACC"}</definedName>
    <definedName name="helleon" hidden="1">{"Area1",#N/A,FALSE,"OREWACC";"Area2",#N/A,FALSE,"OREWACC"}</definedName>
    <definedName name="Hello" hidden="1">{"Area1",#N/A,FALSE,"OREWACC";"Area2",#N/A,FALSE,"OREWACC"}</definedName>
    <definedName name="hello1" hidden="1">{"Area1",#N/A,FALSE,"OREWACC";"Area2",#N/A,FALSE,"OREWACC"}</definedName>
    <definedName name="hello2" hidden="1">{"Area1",#N/A,FALSE,"OREWACC";"Area2",#N/A,FALSE,"OREWACC"}</definedName>
    <definedName name="help_en">#REF!</definedName>
    <definedName name="help_ru">#REF!</definedName>
    <definedName name="hgfd">#REF!</definedName>
    <definedName name="hghghfhf" hidden="1">{"assets",#N/A,FALSE,"historicBS";"liab",#N/A,FALSE,"historicBS";"is",#N/A,FALSE,"historicIS";"ratios",#N/A,FALSE,"ratios"}</definedName>
    <definedName name="hgnb" hidden="1">[19]опт!$A$8:$C$98</definedName>
    <definedName name="hgnb1" hidden="1">[19]опт!$A$8:$C$98</definedName>
    <definedName name="hgnb5" hidden="1">[19]опт!$A$8:$C$98</definedName>
    <definedName name="HH" hidden="1">{"'Grafik Kontrol'!$A$1:$J$8"}</definedName>
    <definedName name="hjdg">[0]!hjdg</definedName>
    <definedName name="hjhjhjjh" hidden="1">{"glc1",#N/A,FALSE,"GLC";"glc2",#N/A,FALSE,"GLC";"glc3",#N/A,FALSE,"GLC";"glc4",#N/A,FALSE,"GLC";"glc5",#N/A,FALSE,"GLC"}</definedName>
    <definedName name="hjj" hidden="1">{"glc1",#N/A,FALSE,"GLC";"glc2",#N/A,FALSE,"GLC";"glc3",#N/A,FALSE,"GLC";"glc4",#N/A,FALSE,"GLC";"glc5",#N/A,FALSE,"GLC"}</definedName>
    <definedName name="hjjhjhjhjhj" hidden="1">{"glc1",#N/A,FALSE,"GLC";"glc2",#N/A,FALSE,"GLC";"glc3",#N/A,FALSE,"GLC";"glc4",#N/A,FALSE,"GLC";"glc5",#N/A,FALSE,"GLC"}</definedName>
    <definedName name="hjjk" hidden="1">{#N/A,#N/A,TRUE,"Буржуям"}</definedName>
    <definedName name="hkhkhkhkhkh" hidden="1">{"glc1",#N/A,FALSE,"GLC";"glc2",#N/A,FALSE,"GLC";"glc3",#N/A,FALSE,"GLC";"glc4",#N/A,FALSE,"GLC";"glc5",#N/A,FALSE,"GLC"}</definedName>
    <definedName name="hmjgj">[0]!hmjgj</definedName>
    <definedName name="HTLM" hidden="1">{"'РП (2)'!$A$5:$S$150"}</definedName>
    <definedName name="HTML_C" hidden="1">{"'Sheet1'!$A$12:$K$107"}</definedName>
    <definedName name="HTML_CodePage" hidden="1">1251</definedName>
    <definedName name="HTML_Control" hidden="1">{"'РП (2)'!$A$5:$S$150"}</definedName>
    <definedName name="HTML_Description" hidden="1">""</definedName>
    <definedName name="HTML_Email" hidden="1">""</definedName>
    <definedName name="HTML_Header" hidden="1">""</definedName>
    <definedName name="HTML_LastUpdate" hidden="1">"19.08.98"</definedName>
    <definedName name="HTML_LineAfter" hidden="1">FALSE</definedName>
    <definedName name="HTML_LineBefore" hidden="1">FALSE</definedName>
    <definedName name="HTML_Name" hidden="1">"Алесенко"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"L:\WWW\ECONOMIC\541-rsk.htm"</definedName>
    <definedName name="HTML_PathFileMac" hidden="1">"Macintosh HD:HomePageStuff:New_Home_Page:datafile:histret.html"</definedName>
    <definedName name="HTML_PathTemplateMac" hidden="1">"Macintosh HD:HomePageStuff:New_Home_Page:datafile:Betas.html"</definedName>
    <definedName name="HTML_Title" hidden="1">"DIAG_RSK"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" hidden="1">{"'Prices'!$A$4:$J$27"}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hidden="1">2</definedName>
    <definedName name="i">#REF!</definedName>
    <definedName name="I_1">#REF!</definedName>
    <definedName name="I_2">#REF!</definedName>
    <definedName name="IBC">#REF!</definedName>
    <definedName name="ii" hidden="1">{"ÜBER mit FW","THU",FALSE,"HORE KORR!";"ÜBERSICHT",#N/A,FALSE,"BUDGET 1997_98";"ÜBER mit FW",#N/A,FALSE,"IST KUM KORR!!";"ÜBERSICHT",#N/A,FALSE,"PLAN KUM"}</definedName>
    <definedName name="iii" hidden="1">{"ÜBER mit FW","THU",FALSE,"HORE KORR!";"ÜBERSICHT",#N/A,FALSE,"BUDGET 1997_98";"ÜBER mit FW",#N/A,FALSE,"IST KUM KORR!!";"ÜBERSICHT",#N/A,FALSE,"PLAN KUM"}</definedName>
    <definedName name="iiii" hidden="1">{"ÜBER mit FW","THU",FALSE,"HORE KORR!";"ÜBERSICHT",#N/A,FALSE,"BUDGET 1997_98";"ÜBER mit FW",#N/A,FALSE,"IST KUM KORR!!";"ÜBERSICHT",#N/A,FALSE,"PLAN KUM"}</definedName>
    <definedName name="iiiii" hidden="1">{"ÜBER mit FW","THU",FALSE,"HORE KORR!";"ÜBERSICHT",#N/A,FALSE,"BUDGET 1997_98";"ÜBER mit FW",#N/A,FALSE,"IST KUM KORR!!";"ÜBERSICHT",#N/A,FALSE,"PLAN KUM"}</definedName>
    <definedName name="ikiahg" hidden="1">{"glc1",#N/A,FALSE,"GLC";"glc2",#N/A,FALSE,"GLC";"glc3",#N/A,FALSE,"GLC";"glc4",#N/A,FALSE,"GLC";"glc5",#N/A,FALSE,"GLC"}</definedName>
    <definedName name="ikjhgyfdr" hidden="1">{"glc1",#N/A,FALSE,"GLC";"glc2",#N/A,FALSE,"GLC";"glc3",#N/A,FALSE,"GLC";"glc4",#N/A,FALSE,"GLC";"glc5",#N/A,FALSE,"GLC"}</definedName>
    <definedName name="ikyde" hidden="1">{"Output-Min",#N/A,FALSE,"Output"}</definedName>
    <definedName name="IN_ASSET_11">[23]Inside!$A$131</definedName>
    <definedName name="IN_ASSET_12">[23]Inside!$A$134</definedName>
    <definedName name="IN_ASSET_13">[23]Inside!$A$138</definedName>
    <definedName name="IN_ASSET_14">[23]Inside!$A$142</definedName>
    <definedName name="IN_ASSET_15">[23]Inside!$A$146</definedName>
    <definedName name="IN_ASSET_21">[23]Inside!$A$150</definedName>
    <definedName name="IN_ASSET_22">[23]Inside!$A$153</definedName>
    <definedName name="IN_ASSET_23">[23]Inside!$A$157</definedName>
    <definedName name="IN_ASSET_24">[23]Inside!$A$161</definedName>
    <definedName name="IN_ASSET_25">[23]Inside!$A$165</definedName>
    <definedName name="IN_ASSET_31">[23]Inside!$A$169</definedName>
    <definedName name="IN_ASSET_32">[23]Inside!$A$172</definedName>
    <definedName name="IN_ASSET_33">[23]Inside!$A$176</definedName>
    <definedName name="IN_ASSET_34">[23]Inside!$A$180</definedName>
    <definedName name="IN_ASSET_35">[23]Inside!$A$184</definedName>
    <definedName name="IN_ASSET_41">[23]Inside!$A$188</definedName>
    <definedName name="IN_ASSET_42">[23]Inside!$A$191</definedName>
    <definedName name="IN_ASSET_43">[23]Inside!$A$195</definedName>
    <definedName name="IN_ASSET_44">[23]Inside!$A$199</definedName>
    <definedName name="IN_ASSET_45">[23]Inside!$A$203</definedName>
    <definedName name="IN_ASSET_51">[23]Inside!$A$207</definedName>
    <definedName name="IN_ASSET_52">[23]Inside!$A$210</definedName>
    <definedName name="IN_ASSET_53">[23]Inside!$A$214</definedName>
    <definedName name="IN_ASSET_54">[23]Inside!$A$218</definedName>
    <definedName name="IN_ASSET_55">[23]Inside!$A$222</definedName>
    <definedName name="IN_ASSET_61">[23]Inside!$A$226</definedName>
    <definedName name="IN_ASSET_62">[23]Inside!$A$229</definedName>
    <definedName name="IN_ASSET_63">[23]Inside!$A$233</definedName>
    <definedName name="IN_ASSET_64">[23]Inside!$A$237</definedName>
    <definedName name="IN_ASSET_65">[23]Inside!$A$241</definedName>
    <definedName name="IN_ASSET_71">[23]Inside!$A$245</definedName>
    <definedName name="IN_ASSET_72">[23]Inside!$A$248</definedName>
    <definedName name="IN_ASSET_73">[23]Inside!$A$252</definedName>
    <definedName name="IN_ASSET_74">[23]Inside!$A$256</definedName>
    <definedName name="IN_ASSET_75">[23]Inside!$A$260</definedName>
    <definedName name="IND_CMR_TEK">#N/A</definedName>
    <definedName name="IND_OB_TEK">#N/A</definedName>
    <definedName name="Input1" hidden="1">{#N/A,#N/A,FALSE,"Aging Summary";#N/A,#N/A,FALSE,"Ratio Analysis";#N/A,#N/A,FALSE,"Test 120 Day Accts";#N/A,#N/A,FALSE,"Tickmarks"}</definedName>
    <definedName name="INRGR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INSIDE_COST_1">[23]Inside!$A$58</definedName>
    <definedName name="INSIDE_COST_2">[23]Inside!$A$70</definedName>
    <definedName name="INSIDE_COST_3">[23]Inside!$A$82</definedName>
    <definedName name="INSIDE_COST_4">[23]Inside!$A$94</definedName>
    <definedName name="INSIDE_COST_5">[23]Inside!$A$106</definedName>
    <definedName name="INSIDE_COST_6">[23]Inside!$A$118</definedName>
    <definedName name="INSIDE_GE_1">[23]Inside!$A$266</definedName>
    <definedName name="INSIDE_GE_2">[23]Inside!$A$271</definedName>
    <definedName name="INSIDE_GE_3">[23]Inside!$A$276</definedName>
    <definedName name="INSIDE_GE_VAT_1">[23]Inside!$A$280</definedName>
    <definedName name="INSIDE_GE_VAT_2">[23]Inside!$A$285</definedName>
    <definedName name="INSIDE_GE_VAT_3">[23]Inside!$A$290</definedName>
    <definedName name="INSIDE_PERS_1">[23]Inside!$A$299</definedName>
    <definedName name="INSIDE_PERS_2">[23]Inside!$A$302</definedName>
    <definedName name="INSIDE_PERS_3">[23]Inside!$A$312</definedName>
    <definedName name="INSIDE_PROD_1">[23]Inside!$A$8</definedName>
    <definedName name="INSIDE_PROD_2">[23]Inside!$A$20</definedName>
    <definedName name="INSIDE_PROD_3">[23]Inside!$A$32</definedName>
    <definedName name="INSIDE_PROD_4">[23]Inside!$A$44</definedName>
    <definedName name="INSIDE_SHARE_1">[23]Inside!$A$316</definedName>
    <definedName name="INSIDE_SHARE_2">[23]Inside!$A$319</definedName>
    <definedName name="INSIDE_SHARE_3">[23]Inside!$A$322</definedName>
    <definedName name="INT">[22]Баланс95!#REF!</definedName>
    <definedName name="Int_Rate">#REF!</definedName>
    <definedName name="INTER_RATE_1">#REF!</definedName>
    <definedName name="INTER_RATE_2">#REF!</definedName>
    <definedName name="INTER_RATE_3">#REF!</definedName>
    <definedName name="interconn_pay">[32]KEY!#REF!</definedName>
    <definedName name="interest">'[40]Master Inputs Start Here'!$D$13</definedName>
    <definedName name="Interval">[52]Настройка!$B$13</definedName>
    <definedName name="INV_NUM">#REF!</definedName>
    <definedName name="INVENT_FRA">[23]Расчеты!$C$35</definedName>
    <definedName name="INVENT_INT">[23]Расчеты!$B$35</definedName>
    <definedName name="INVENT_PERIOD">#REF!</definedName>
    <definedName name="InvestmentP" hidden="1">{"'domaće količine'!$K$34:$P$47"}</definedName>
    <definedName name="IQ_1_4_CONSTRUCTION_GROSS_LOANS_FFIEC" hidden="1">"c13402"</definedName>
    <definedName name="IQ_1_4_CONSTRUCTION_LL_REC_DOM_FFIEC" hidden="1">"c12899"</definedName>
    <definedName name="IQ_1_4_CONSTRUCTION_LOAN_COMMITMENTS_UNUSED_FFIEC" hidden="1">"c13244"</definedName>
    <definedName name="IQ_1_4_CONSTRUCTION_LOANS_DUE_30_89_FFIEC" hidden="1">"c13257"</definedName>
    <definedName name="IQ_1_4_CONSTRUCTION_LOANS_DUE_90_FFIEC" hidden="1">"c13285"</definedName>
    <definedName name="IQ_1_4_CONSTRUCTION_LOANS_NON_ACCRUAL_FFIEC" hidden="1">"c13311"</definedName>
    <definedName name="IQ_1_4_CONSTRUCTION_RISK_BASED_FFIEC" hidden="1">"c13423"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30YR_FIXED_MORTGAGE" hidden="1">"c6811"</definedName>
    <definedName name="IQ_30YR_FIXED_MORTGAGE_FC" hidden="1">"c7691"</definedName>
    <definedName name="IQ_30YR_FIXED_MORTGAGE_POP" hidden="1">"c7031"</definedName>
    <definedName name="IQ_30YR_FIXED_MORTGAGE_POP_FC" hidden="1">"c7911"</definedName>
    <definedName name="IQ_30YR_FIXED_MORTGAGE_YOY" hidden="1">"c7251"</definedName>
    <definedName name="IQ_30YR_FIXED_MORTGAGE_YOY_FC" hidden="1">"c8131"</definedName>
    <definedName name="IQ_ABS_AVAIL_SALE_FFIEC" hidden="1">"c12802"</definedName>
    <definedName name="IQ_ABS_FFIEC" hidden="1">"c12788"</definedName>
    <definedName name="IQ_ABS_INVEST_SECURITIES_FFIEC" hidden="1">"c13461"</definedName>
    <definedName name="IQ_ABS_PERIOD" hidden="1">"c13823"</definedName>
    <definedName name="IQ_ACCOUNT_CHANGE" hidden="1">"c1449"</definedName>
    <definedName name="IQ_ACCOUNTING_FFIEC" hidden="1">"c13054"</definedName>
    <definedName name="IQ_ACCOUNTING_STANDARD" hidden="1">"c4539"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RUED_INTEREST_RECEIVABLE_FFIEC" hidden="1">"c12842"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CTUAL_PRODUCTION_ALUM" hidden="1">"c9247"</definedName>
    <definedName name="IQ_ACTUAL_PRODUCTION_CATHODE_COP" hidden="1">"c9192"</definedName>
    <definedName name="IQ_ACTUAL_PRODUCTION_COAL" hidden="1">"c9821"</definedName>
    <definedName name="IQ_ACTUAL_PRODUCTION_COP" hidden="1">"c9191"</definedName>
    <definedName name="IQ_ACTUAL_PRODUCTION_DIAM" hidden="1">"c9671"</definedName>
    <definedName name="IQ_ACTUAL_PRODUCTION_GOLD" hidden="1">"c9032"</definedName>
    <definedName name="IQ_ACTUAL_PRODUCTION_IRON" hidden="1">"c9406"</definedName>
    <definedName name="IQ_ACTUAL_PRODUCTION_LEAD" hidden="1">"c9459"</definedName>
    <definedName name="IQ_ACTUAL_PRODUCTION_MANG" hidden="1">"c9512"</definedName>
    <definedName name="IQ_ACTUAL_PRODUCTION_MET_COAL" hidden="1">"c9761"</definedName>
    <definedName name="IQ_ACTUAL_PRODUCTION_MOLYB" hidden="1">"c9724"</definedName>
    <definedName name="IQ_ACTUAL_PRODUCTION_NICK" hidden="1">"c9300"</definedName>
    <definedName name="IQ_ACTUAL_PRODUCTION_PLAT" hidden="1">"c9138"</definedName>
    <definedName name="IQ_ACTUAL_PRODUCTION_SILVER" hidden="1">"c9085"</definedName>
    <definedName name="IQ_ACTUAL_PRODUCTION_STEAM" hidden="1">"c9791"</definedName>
    <definedName name="IQ_ACTUAL_PRODUCTION_TITAN" hidden="1">"c9565"</definedName>
    <definedName name="IQ_ACTUAL_PRODUCTION_URAN" hidden="1">"c9618"</definedName>
    <definedName name="IQ_ACTUAL_PRODUCTION_ZINC" hidden="1">"c9353"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JUSTED_NAV_COVERED" hidden="1">"c9963"</definedName>
    <definedName name="IQ_ADJUSTED_NAV_GROUP" hidden="1">"c9949"</definedName>
    <definedName name="IQ_ADMIN_RATIO" hidden="1">"c2784"</definedName>
    <definedName name="IQ_ADVERTISING" hidden="1">"c2246"</definedName>
    <definedName name="IQ_ADVERTISING_MARKETING" hidden="1">"c1566"</definedName>
    <definedName name="IQ_ADVERTISING_MARKETING_EXPENSES_FFIEC" hidden="1">"c13048"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FO" hidden="1">"c8756"</definedName>
    <definedName name="IQ_AFFO_PER_SHARE_BASIC" hidden="1">"c8869"</definedName>
    <definedName name="IQ_AFFO_PER_SHARE_DILUTED" hidden="1">"c8870"</definedName>
    <definedName name="IQ_AFS_INVEST_SECURITIES_FFIEC" hidden="1">"c13456"</definedName>
    <definedName name="IQ_AFS_SECURITIES_TIER_1_FFIEC" hidden="1">"c13343"</definedName>
    <definedName name="IQ_AFTER_TAX_INCOME_FDIC" hidden="1">"c6583"</definedName>
    <definedName name="IQ_AGENCY" hidden="1">"c8960"</definedName>
    <definedName name="IQ_AGENCY_INVEST_SECURITIES_FFIEC" hidden="1">"c13458"</definedName>
    <definedName name="IQ_AGG_CORPORATE_SHARES" hidden="1">"c13781"</definedName>
    <definedName name="IQ_AGG_CORPORATE_VALUE" hidden="1">"c13774"</definedName>
    <definedName name="IQ_AGG_ESOP_SHARES" hidden="1">"c13782"</definedName>
    <definedName name="IQ_AGG_ESOP_VALUE" hidden="1">"c13775"</definedName>
    <definedName name="IQ_AGG_FOUNDATION_SHARES" hidden="1">"c13783"</definedName>
    <definedName name="IQ_AGG_FOUNDATION_VALUE" hidden="1">"c13776"</definedName>
    <definedName name="IQ_AGG_HEDGEFUND_SHARES" hidden="1">"c13785"</definedName>
    <definedName name="IQ_AGG_HEDGEFUND_VALUE" hidden="1">"c13778"</definedName>
    <definedName name="IQ_AGG_INSIDER_SHARES" hidden="1">"c13780"</definedName>
    <definedName name="IQ_AGG_INSIDER_VALUE" hidden="1">"c13773"</definedName>
    <definedName name="IQ_AGG_INSTITUTIONAL_SHARES" hidden="1">"c13779"</definedName>
    <definedName name="IQ_AGG_INSTITUTIONAL_VALUE" hidden="1">"c13772"</definedName>
    <definedName name="IQ_AGG_OTHER_SHARES" hidden="1">"c13784"</definedName>
    <definedName name="IQ_AGG_OTHER_VALUE" hidden="1">"c13777"</definedName>
    <definedName name="IQ_AGRICULTURAL_GROSS_LOANS_FFIEC" hidden="1">"c13413"</definedName>
    <definedName name="IQ_AGRICULTURAL_LOANS_FOREIGN_FFIEC" hidden="1">"c13481"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GRICULTURAL_RISK_BASED_FFIEC" hidden="1">"c13434"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AVG_PSGR_FARE" hidden="1">"c10029"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NUMBER_HRS_FLOWN" hidden="1">"c10037"</definedName>
    <definedName name="IQ_AIR_NUMBER_OPERATING_AIRCRAFT_AVG" hidden="1">"c10035"</definedName>
    <definedName name="IQ_AIR_NUMBER_TRIPS_FLOWN" hidden="1">"c10030"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EX_PER_ASK_EXCL_FUEL" hidden="1">"c10034"</definedName>
    <definedName name="IQ_AIR_OPEX_PER_ASM_EXCL_FUEL" hidden="1">"c10033"</definedName>
    <definedName name="IQ_AIR_OPTIONS" hidden="1">"c2837"</definedName>
    <definedName name="IQ_AIR_ORDERS" hidden="1">"c2836"</definedName>
    <definedName name="IQ_AIR_OWNED" hidden="1">"c2832"</definedName>
    <definedName name="IQ_AIR_PERCENTAGE_SALES_VIA_INTERNET" hidden="1">"c10036"</definedName>
    <definedName name="IQ_AIR_PSGR_HAUL_AVG_LENGTH_KM" hidden="1">"c10032"</definedName>
    <definedName name="IQ_AIR_PSGR_HAUL_AVG_LENGTH_MILES" hidden="1">"c10031"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_OTHER_LEASES_CHARGE_OFFS_FFIEC" hidden="1">"c13185"</definedName>
    <definedName name="IQ_ALL_OTHER_LEASES_RECOV_FFIEC" hidden="1">"c13207"</definedName>
    <definedName name="IQ_ALL_OTHER_LOANS_CHARGE_OFFS_FFIEC" hidden="1">"c13183"</definedName>
    <definedName name="IQ_ALL_OTHER_LOANS_RECOV_FFIEC" hidden="1">"c13205"</definedName>
    <definedName name="IQ_ALL_OTHER_TRADING_LIABILITIES_DOM_FFIEC" hidden="1">"c12942"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_LL_LOSSES_FFIEC" hidden="1">"c12810"</definedName>
    <definedName name="IQ_ALLOWABLE_T2_CAPITAL_FFIEC" hidden="1">"c13150"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CREDIT_LOSSES_OFF_BS_FFIEC" hidden="1">"c12871"</definedName>
    <definedName name="IQ_ALLOWANCE_LL_LOSSES_T2_FFIEC" hidden="1">"c13146"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_IMPAIRMENT_OTHER_INTANGIBLE_ASSETS_FFIEC" hidden="1">"c13026"</definedName>
    <definedName name="IQ_AMORT_EXPENSE_FDIC" hidden="1">"c6677"</definedName>
    <definedName name="IQ_AMORTIZATION" hidden="1">"c1591"</definedName>
    <definedName name="IQ_AMORTIZED_COST_FDIC" hidden="1">"c6426"</definedName>
    <definedName name="IQ_AMOUNT_FINANCIAL_LOC_CONVEYED_FFIEC" hidden="1">"c13250"</definedName>
    <definedName name="IQ_AMOUNT_PERFORMANCE_LOC_CONVEYED_FFIEC" hidden="1">"c13252"</definedName>
    <definedName name="IQ_AMT_OUT" hidden="1">"c2145"</definedName>
    <definedName name="IQ_ANALYST_DET_EST" hidden="1">"c12043"</definedName>
    <definedName name="IQ_ANALYST_DET_EST_THOM" hidden="1">"c12071"</definedName>
    <definedName name="IQ_ANALYST_EMAIL" hidden="1">"c13738"</definedName>
    <definedName name="IQ_ANALYST_NAME" hidden="1">"c13736"</definedName>
    <definedName name="IQ_ANALYST_NON_PER_DET_EST" hidden="1">"c12755"</definedName>
    <definedName name="IQ_ANALYST_NON_PER_DET_EST_THOM" hidden="1">"c12759"</definedName>
    <definedName name="IQ_ANALYST_PHONE" hidden="1">"c13737"</definedName>
    <definedName name="IQ_ANALYST_START_DATE" hidden="1">"c13740"</definedName>
    <definedName name="IQ_ANNU_DISTRIBUTION_UNIT" hidden="1">"c3004"</definedName>
    <definedName name="IQ_ANNUAL_PREMIUM_EQUIVALENT_NEW_BUSINESS" hidden="1">"c9972"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NNUITY_SALES_FEES_COMMISSIONS_FFIEC" hidden="1">"c13007"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PPLICABLE_INCOME_TAXES_FTE_FFIEC" hidden="1">"c13853"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SUPPLE" hidden="1">"c13812"</definedName>
    <definedName name="IQ_ASSET_WRITEDOWN_UTI" hidden="1">"c61"</definedName>
    <definedName name="IQ_ASSETS_AP" hidden="1">"c8883"</definedName>
    <definedName name="IQ_ASSETS_AP_ABS" hidden="1">"c8902"</definedName>
    <definedName name="IQ_ASSETS_CAP_LEASE_DEPR" hidden="1">"c2068"</definedName>
    <definedName name="IQ_ASSETS_CAP_LEASE_GROSS" hidden="1">"c2069"</definedName>
    <definedName name="IQ_ASSETS_FAIR_VALUE" hidden="1">"c13843"</definedName>
    <definedName name="IQ_ASSETS_HELD_FDIC" hidden="1">"c6305"</definedName>
    <definedName name="IQ_ASSETS_LEVEL_1" hidden="1">"c13839"</definedName>
    <definedName name="IQ_ASSETS_LEVEL_2" hidden="1">"c13840"</definedName>
    <definedName name="IQ_ASSETS_LEVEL_3" hidden="1">"c13841"</definedName>
    <definedName name="IQ_ASSETS_NAME_AP" hidden="1">"c8921"</definedName>
    <definedName name="IQ_ASSETS_NAME_AP_ABS" hidden="1">"c8940"</definedName>
    <definedName name="IQ_ASSETS_NETTING_OTHER_ADJUSTMENTS" hidden="1">"c13842"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REPRICE_ASSETS_TOT_FFIEC" hidden="1">"c13454"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TM_FEES_FFIEC" hidden="1">"c13042"</definedName>
    <definedName name="IQ_ATM_INTERCHANGE_EXPENSES_FFIEC" hidden="1">"c13056"</definedName>
    <definedName name="IQ_AUDITOR_NAME" hidden="1">"c1539"</definedName>
    <definedName name="IQ_AUDITOR_OPINION" hidden="1">"c1540"</definedName>
    <definedName name="IQ_AUM" hidden="1">"c10043"</definedName>
    <definedName name="IQ_AUM_EQUITY_FUNDS" hidden="1">"c10039"</definedName>
    <definedName name="IQ_AUM_FIXED_INCOME_FUNDS" hidden="1">"c10040"</definedName>
    <definedName name="IQ_AUM_MONEY_MARKET_FUNDS" hidden="1">"c10041"</definedName>
    <definedName name="IQ_AUM_OTHER" hidden="1">"c10042"</definedName>
    <definedName name="IQ_AUTO_REGIST_NEW" hidden="1">"c6923"</definedName>
    <definedName name="IQ_AUTO_REGIST_NEW_APR" hidden="1">"c7583"</definedName>
    <definedName name="IQ_AUTO_REGIST_NEW_APR_FC" hidden="1">"c8463"</definedName>
    <definedName name="IQ_AUTO_REGIST_NEW_FC" hidden="1">"c7803"</definedName>
    <definedName name="IQ_AUTO_REGIST_NEW_POP" hidden="1">"c7143"</definedName>
    <definedName name="IQ_AUTO_REGIST_NEW_POP_FC" hidden="1">"c8023"</definedName>
    <definedName name="IQ_AUTO_REGIST_NEW_YOY" hidden="1">"c7363"</definedName>
    <definedName name="IQ_AUTO_REGIST_NEW_YOY_FC" hidden="1">"c8243"</definedName>
    <definedName name="IQ_AUTO_SALES_DOM" hidden="1">"c6852"</definedName>
    <definedName name="IQ_AUTO_SALES_DOM_APR" hidden="1">"c7512"</definedName>
    <definedName name="IQ_AUTO_SALES_DOM_APR_FC" hidden="1">"c8392"</definedName>
    <definedName name="IQ_AUTO_SALES_DOM_FC" hidden="1">"c7732"</definedName>
    <definedName name="IQ_AUTO_SALES_DOM_POP" hidden="1">"c7072"</definedName>
    <definedName name="IQ_AUTO_SALES_DOM_POP_FC" hidden="1">"c7952"</definedName>
    <definedName name="IQ_AUTO_SALES_DOM_YOY" hidden="1">"c7292"</definedName>
    <definedName name="IQ_AUTO_SALES_DOM_YOY_FC" hidden="1">"c8172"</definedName>
    <definedName name="IQ_AUTO_SALES_FOREIGN" hidden="1">"c6873"</definedName>
    <definedName name="IQ_AUTO_SALES_FOREIGN_APR" hidden="1">"c7533"</definedName>
    <definedName name="IQ_AUTO_SALES_FOREIGN_APR_FC" hidden="1">"c8413"</definedName>
    <definedName name="IQ_AUTO_SALES_FOREIGN_FC" hidden="1">"c7753"</definedName>
    <definedName name="IQ_AUTO_SALES_FOREIGN_POP" hidden="1">"c7093"</definedName>
    <definedName name="IQ_AUTO_SALES_FOREIGN_POP_FC" hidden="1">"c7973"</definedName>
    <definedName name="IQ_AUTO_SALES_FOREIGN_YOY" hidden="1">"c7313"</definedName>
    <definedName name="IQ_AUTO_SALES_FOREIGN_YOY_FC" hidden="1">"c8193"</definedName>
    <definedName name="IQ_AUTO_WRITTEN" hidden="1">"c62"</definedName>
    <definedName name="IQ_AVAILABLE_FOR_SALE_FDIC" hidden="1">"c6409"</definedName>
    <definedName name="IQ_AVAILABLE_SALE_SEC_FFIEC" hidden="1">"c12791"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CIQ" hidden="1">"c3612"</definedName>
    <definedName name="IQ_AVG_BROKER_REC_NO" hidden="1">"c64"</definedName>
    <definedName name="IQ_AVG_BROKER_REC_NO_CIQ" hidden="1">"c4657"</definedName>
    <definedName name="IQ_AVG_BROKER_REC_NO_THOM" hidden="1">"c5094"</definedName>
    <definedName name="IQ_AVG_BROKER_REC_THOM" hidden="1">"c3648"</definedName>
    <definedName name="IQ_AVG_CALORIFIC_VALUE_COAL" hidden="1">"c9828"</definedName>
    <definedName name="IQ_AVG_CALORIFIC_VALUE_MET_COAL" hidden="1">"c9764"</definedName>
    <definedName name="IQ_AVG_CALORIFIC_VALUE_STEAM" hidden="1">"c9794"</definedName>
    <definedName name="IQ_AVG_DAILY_VOL" hidden="1">"c65"</definedName>
    <definedName name="IQ_AVG_EMPLOYEES" hidden="1">"c6019"</definedName>
    <definedName name="IQ_AVG_GRADE_ALUM" hidden="1">"c9254"</definedName>
    <definedName name="IQ_AVG_GRADE_COP" hidden="1">"c9201"</definedName>
    <definedName name="IQ_AVG_GRADE_DIAM" hidden="1">"c9678"</definedName>
    <definedName name="IQ_AVG_GRADE_GOLD" hidden="1">"c9039"</definedName>
    <definedName name="IQ_AVG_GRADE_IRON" hidden="1">"c9413"</definedName>
    <definedName name="IQ_AVG_GRADE_LEAD" hidden="1">"c9466"</definedName>
    <definedName name="IQ_AVG_GRADE_MANG" hidden="1">"c9519"</definedName>
    <definedName name="IQ_AVG_GRADE_MOLYB" hidden="1">"c9731"</definedName>
    <definedName name="IQ_AVG_GRADE_NICK" hidden="1">"c9307"</definedName>
    <definedName name="IQ_AVG_GRADE_PLAT" hidden="1">"c9145"</definedName>
    <definedName name="IQ_AVG_GRADE_SILVER" hidden="1">"c9092"</definedName>
    <definedName name="IQ_AVG_GRADE_TITAN" hidden="1">"c9572"</definedName>
    <definedName name="IQ_AVG_GRADE_URAN" hidden="1">"c9625"</definedName>
    <definedName name="IQ_AVG_GRADE_ZINC" hidden="1">"c9360"</definedName>
    <definedName name="IQ_AVG_INDUSTRY_REC" hidden="1">"c4455"</definedName>
    <definedName name="IQ_AVG_INDUSTRY_REC_CIQ" hidden="1">"c4984"</definedName>
    <definedName name="IQ_AVG_INDUSTRY_REC_NO" hidden="1">"c4454"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ODUCTION_PER_MINE_ALUM" hidden="1">"c9249"</definedName>
    <definedName name="IQ_AVG_PRODUCTION_PER_MINE_COAL" hidden="1">"c9823"</definedName>
    <definedName name="IQ_AVG_PRODUCTION_PER_MINE_COP" hidden="1">"c9194"</definedName>
    <definedName name="IQ_AVG_PRODUCTION_PER_MINE_DIAM" hidden="1">"c9673"</definedName>
    <definedName name="IQ_AVG_PRODUCTION_PER_MINE_GOLD" hidden="1">"c9034"</definedName>
    <definedName name="IQ_AVG_PRODUCTION_PER_MINE_IRON" hidden="1">"c9408"</definedName>
    <definedName name="IQ_AVG_PRODUCTION_PER_MINE_LEAD" hidden="1">"c9461"</definedName>
    <definedName name="IQ_AVG_PRODUCTION_PER_MINE_MANG" hidden="1">"c9514"</definedName>
    <definedName name="IQ_AVG_PRODUCTION_PER_MINE_MOLYB" hidden="1">"c9726"</definedName>
    <definedName name="IQ_AVG_PRODUCTION_PER_MINE_NICK" hidden="1">"c9302"</definedName>
    <definedName name="IQ_AVG_PRODUCTION_PER_MINE_PLAT" hidden="1">"c9140"</definedName>
    <definedName name="IQ_AVG_PRODUCTION_PER_MINE_SILVER" hidden="1">"c9087"</definedName>
    <definedName name="IQ_AVG_PRODUCTION_PER_MINE_TITAN" hidden="1">"c9567"</definedName>
    <definedName name="IQ_AVG_PRODUCTION_PER_MINE_URAN" hidden="1">"c9620"</definedName>
    <definedName name="IQ_AVG_PRODUCTION_PER_MINE_ZINC" hidden="1">"c9355"</definedName>
    <definedName name="IQ_AVG_REAL_PRICE_POST_TREAT_REFINING_ALUM" hidden="1">"c9259"</definedName>
    <definedName name="IQ_AVG_REAL_PRICE_POST_TREAT_REFINING_COP" hidden="1">"c9206"</definedName>
    <definedName name="IQ_AVG_REAL_PRICE_POST_TREAT_REFINING_DIAM" hidden="1">"c9683"</definedName>
    <definedName name="IQ_AVG_REAL_PRICE_POST_TREAT_REFINING_GOLD" hidden="1">"c9044"</definedName>
    <definedName name="IQ_AVG_REAL_PRICE_POST_TREAT_REFINING_IRON" hidden="1">"c9418"</definedName>
    <definedName name="IQ_AVG_REAL_PRICE_POST_TREAT_REFINING_LEAD" hidden="1">"c9471"</definedName>
    <definedName name="IQ_AVG_REAL_PRICE_POST_TREAT_REFINING_MANG" hidden="1">"c9524"</definedName>
    <definedName name="IQ_AVG_REAL_PRICE_POST_TREAT_REFINING_MOLYB" hidden="1">"c9736"</definedName>
    <definedName name="IQ_AVG_REAL_PRICE_POST_TREAT_REFINING_NICK" hidden="1">"c9311"</definedName>
    <definedName name="IQ_AVG_REAL_PRICE_POST_TREAT_REFINING_PLAT" hidden="1">"c9150"</definedName>
    <definedName name="IQ_AVG_REAL_PRICE_POST_TREAT_REFINING_SILVER" hidden="1">"c9097"</definedName>
    <definedName name="IQ_AVG_REAL_PRICE_POST_TREAT_REFINING_TITAN" hidden="1">"c9577"</definedName>
    <definedName name="IQ_AVG_REAL_PRICE_POST_TREAT_REFINING_URAN" hidden="1">"c9630"</definedName>
    <definedName name="IQ_AVG_REAL_PRICE_POST_TREAT_REFINING_ZINC" hidden="1">"c9365"</definedName>
    <definedName name="IQ_AVG_REAL_PRICE_PRE_TREAT_REFINING_ALUM" hidden="1">"c9258"</definedName>
    <definedName name="IQ_AVG_REAL_PRICE_PRE_TREAT_REFINING_COP" hidden="1">"c9205"</definedName>
    <definedName name="IQ_AVG_REAL_PRICE_PRE_TREAT_REFINING_DIAM" hidden="1">"c9682"</definedName>
    <definedName name="IQ_AVG_REAL_PRICE_PRE_TREAT_REFINING_GOLD" hidden="1">"c9043"</definedName>
    <definedName name="IQ_AVG_REAL_PRICE_PRE_TREAT_REFINING_IRON" hidden="1">"c9417"</definedName>
    <definedName name="IQ_AVG_REAL_PRICE_PRE_TREAT_REFINING_LEAD" hidden="1">"c9470"</definedName>
    <definedName name="IQ_AVG_REAL_PRICE_PRE_TREAT_REFINING_MANG" hidden="1">"c9523"</definedName>
    <definedName name="IQ_AVG_REAL_PRICE_PRE_TREAT_REFINING_MOLYB" hidden="1">"c9735"</definedName>
    <definedName name="IQ_AVG_REAL_PRICE_PRE_TREAT_REFINING_NICK" hidden="1">"c9312"</definedName>
    <definedName name="IQ_AVG_REAL_PRICE_PRE_TREAT_REFINING_PLAT" hidden="1">"c9149"</definedName>
    <definedName name="IQ_AVG_REAL_PRICE_PRE_TREAT_REFINING_SILVER" hidden="1">"c9096"</definedName>
    <definedName name="IQ_AVG_REAL_PRICE_PRE_TREAT_REFINING_TITAN" hidden="1">"c9576"</definedName>
    <definedName name="IQ_AVG_REAL_PRICE_PRE_TREAT_REFINING_URAN" hidden="1">"c9629"</definedName>
    <definedName name="IQ_AVG_REAL_PRICE_PRE_TREAT_REFINING_ZINC" hidden="1">"c9364"</definedName>
    <definedName name="IQ_AVG_REALIZED_PRICE_AFTER_HEDGING_ALUM" hidden="1">"c9257"</definedName>
    <definedName name="IQ_AVG_REALIZED_PRICE_AFTER_HEDGING_COAL" hidden="1">"c9830"</definedName>
    <definedName name="IQ_AVG_REALIZED_PRICE_AFTER_HEDGING_COP" hidden="1">"c9204"</definedName>
    <definedName name="IQ_AVG_REALIZED_PRICE_AFTER_HEDGING_DIAM" hidden="1">"c9681"</definedName>
    <definedName name="IQ_AVG_REALIZED_PRICE_AFTER_HEDGING_GOLD" hidden="1">"c9042"</definedName>
    <definedName name="IQ_AVG_REALIZED_PRICE_AFTER_HEDGING_IRON" hidden="1">"c9416"</definedName>
    <definedName name="IQ_AVG_REALIZED_PRICE_AFTER_HEDGING_LEAD" hidden="1">"c9469"</definedName>
    <definedName name="IQ_AVG_REALIZED_PRICE_AFTER_HEDGING_MANG" hidden="1">"c9522"</definedName>
    <definedName name="IQ_AVG_REALIZED_PRICE_AFTER_HEDGING_MET_COAL" hidden="1">"c9766"</definedName>
    <definedName name="IQ_AVG_REALIZED_PRICE_AFTER_HEDGING_MOLYB" hidden="1">"c9734"</definedName>
    <definedName name="IQ_AVG_REALIZED_PRICE_AFTER_HEDGING_NICK" hidden="1">"c9310"</definedName>
    <definedName name="IQ_AVG_REALIZED_PRICE_AFTER_HEDGING_PLAT" hidden="1">"c9148"</definedName>
    <definedName name="IQ_AVG_REALIZED_PRICE_AFTER_HEDGING_SILVER" hidden="1">"c9095"</definedName>
    <definedName name="IQ_AVG_REALIZED_PRICE_AFTER_HEDGING_STEAM" hidden="1">"c9796"</definedName>
    <definedName name="IQ_AVG_REALIZED_PRICE_AFTER_HEDGING_TITAN" hidden="1">"c9575"</definedName>
    <definedName name="IQ_AVG_REALIZED_PRICE_AFTER_HEDGING_URAN" hidden="1">"c9628"</definedName>
    <definedName name="IQ_AVG_REALIZED_PRICE_AFTER_HEDGING_ZINC" hidden="1">"c9363"</definedName>
    <definedName name="IQ_AVG_REALIZED_PRICE_BEFORE_HEDGING_ALUM" hidden="1">"c9256"</definedName>
    <definedName name="IQ_AVG_REALIZED_PRICE_BEFORE_HEDGING_COAL" hidden="1">"c9829"</definedName>
    <definedName name="IQ_AVG_REALIZED_PRICE_BEFORE_HEDGING_COP" hidden="1">"c9203"</definedName>
    <definedName name="IQ_AVG_REALIZED_PRICE_BEFORE_HEDGING_DIAM" hidden="1">"c9680"</definedName>
    <definedName name="IQ_AVG_REALIZED_PRICE_BEFORE_HEDGING_GOLD" hidden="1">"c9041"</definedName>
    <definedName name="IQ_AVG_REALIZED_PRICE_BEFORE_HEDGING_IRON" hidden="1">"c9415"</definedName>
    <definedName name="IQ_AVG_REALIZED_PRICE_BEFORE_HEDGING_LEAD" hidden="1">"c9468"</definedName>
    <definedName name="IQ_AVG_REALIZED_PRICE_BEFORE_HEDGING_MANG" hidden="1">"c9521"</definedName>
    <definedName name="IQ_AVG_REALIZED_PRICE_BEFORE_HEDGING_MET_COAL" hidden="1">"c9765"</definedName>
    <definedName name="IQ_AVG_REALIZED_PRICE_BEFORE_HEDGING_MOLYB" hidden="1">"c9733"</definedName>
    <definedName name="IQ_AVG_REALIZED_PRICE_BEFORE_HEDGING_NICK" hidden="1">"c9309"</definedName>
    <definedName name="IQ_AVG_REALIZED_PRICE_BEFORE_HEDGING_PLAT" hidden="1">"c9147"</definedName>
    <definedName name="IQ_AVG_REALIZED_PRICE_BEFORE_HEDGING_SILVER" hidden="1">"c9094"</definedName>
    <definedName name="IQ_AVG_REALIZED_PRICE_BEFORE_HEDGING_STEAM" hidden="1">"c9795"</definedName>
    <definedName name="IQ_AVG_REALIZED_PRICE_BEFORE_HEDGING_TITAN" hidden="1">"c9574"</definedName>
    <definedName name="IQ_AVG_REALIZED_PRICE_BEFORE_HEDGING_URAN" hidden="1">"c9627"</definedName>
    <definedName name="IQ_AVG_REALIZED_PRICE_BEFORE_HEDGING_ZINC" hidden="1">"c9362"</definedName>
    <definedName name="IQ_AVG_SHAREOUTSTANDING" hidden="1">"c83"</definedName>
    <definedName name="IQ_AVG_TEMP_EMPLOYEES" hidden="1">"c6020"</definedName>
    <definedName name="IQ_AVG_TEV" hidden="1">"c84"</definedName>
    <definedName name="IQ_AVG_TOTAL_ASSETS_LEVERAGE_CAPITAL_FFIEC" hidden="1">"c13159"</definedName>
    <definedName name="IQ_AVG_TOTAL_ASSETS_LEVERAGE_RATIO_FFIEC" hidden="1">"c13154"</definedName>
    <definedName name="IQ_AVG_VOLUME" hidden="1">"c1346"</definedName>
    <definedName name="IQ_AVG_WAGES" hidden="1">"c6812"</definedName>
    <definedName name="IQ_AVG_WAGES_APR" hidden="1">"c7472"</definedName>
    <definedName name="IQ_AVG_WAGES_APR_FC" hidden="1">"c8352"</definedName>
    <definedName name="IQ_AVG_WAGES_FC" hidden="1">"c7692"</definedName>
    <definedName name="IQ_AVG_WAGES_POP" hidden="1">"c7032"</definedName>
    <definedName name="IQ_AVG_WAGES_POP_FC" hidden="1">"c7912"</definedName>
    <definedName name="IQ_AVG_WAGES_YOY" hidden="1">"c7252"</definedName>
    <definedName name="IQ_AVG_WAGES_YOY_FC" hidden="1">"c8132"</definedName>
    <definedName name="IQ_BALANCE_GOODS_APR_FC_UNUSED" hidden="1">"c8353"</definedName>
    <definedName name="IQ_BALANCE_GOODS_APR_UNUSED" hidden="1">"c7473"</definedName>
    <definedName name="IQ_BALANCE_GOODS_FC_UNUSED" hidden="1">"c7693"</definedName>
    <definedName name="IQ_BALANCE_GOODS_POP_FC_UNUSED" hidden="1">"c7913"</definedName>
    <definedName name="IQ_BALANCE_GOODS_POP_UNUSED" hidden="1">"c7033"</definedName>
    <definedName name="IQ_BALANCE_GOODS_REAL" hidden="1">"c6952"</definedName>
    <definedName name="IQ_BALANCE_GOODS_REAL_APR" hidden="1">"c7612"</definedName>
    <definedName name="IQ_BALANCE_GOODS_REAL_APR_FC" hidden="1">"c8492"</definedName>
    <definedName name="IQ_BALANCE_GOODS_REAL_FC" hidden="1">"c7832"</definedName>
    <definedName name="IQ_BALANCE_GOODS_REAL_POP" hidden="1">"c7172"</definedName>
    <definedName name="IQ_BALANCE_GOODS_REAL_POP_FC" hidden="1">"c8052"</definedName>
    <definedName name="IQ_BALANCE_GOODS_REAL_SAAR" hidden="1">"c6953"</definedName>
    <definedName name="IQ_BALANCE_GOODS_REAL_SAAR_APR" hidden="1">"c7613"</definedName>
    <definedName name="IQ_BALANCE_GOODS_REAL_SAAR_APR_FC" hidden="1">"c8493"</definedName>
    <definedName name="IQ_BALANCE_GOODS_REAL_SAAR_FC" hidden="1">"c7833"</definedName>
    <definedName name="IQ_BALANCE_GOODS_REAL_SAAR_POP" hidden="1">"c7173"</definedName>
    <definedName name="IQ_BALANCE_GOODS_REAL_SAAR_POP_FC" hidden="1">"c8053"</definedName>
    <definedName name="IQ_BALANCE_GOODS_REAL_SAAR_USD_APR_FC" hidden="1">"c11893"</definedName>
    <definedName name="IQ_BALANCE_GOODS_REAL_SAAR_USD_FC" hidden="1">"c11890"</definedName>
    <definedName name="IQ_BALANCE_GOODS_REAL_SAAR_USD_POP_FC" hidden="1">"c11891"</definedName>
    <definedName name="IQ_BALANCE_GOODS_REAL_SAAR_USD_YOY_FC" hidden="1">"c11892"</definedName>
    <definedName name="IQ_BALANCE_GOODS_REAL_SAAR_YOY" hidden="1">"c7393"</definedName>
    <definedName name="IQ_BALANCE_GOODS_REAL_SAAR_YOY_FC" hidden="1">"c8273"</definedName>
    <definedName name="IQ_BALANCE_GOODS_REAL_USD_APR_FC" hidden="1">"c11889"</definedName>
    <definedName name="IQ_BALANCE_GOODS_REAL_USD_FC" hidden="1">"c11886"</definedName>
    <definedName name="IQ_BALANCE_GOODS_REAL_USD_POP_FC" hidden="1">"c11887"</definedName>
    <definedName name="IQ_BALANCE_GOODS_REAL_USD_YOY_FC" hidden="1">"c11888"</definedName>
    <definedName name="IQ_BALANCE_GOODS_REAL_YOY" hidden="1">"c7392"</definedName>
    <definedName name="IQ_BALANCE_GOODS_REAL_YOY_FC" hidden="1">"c8272"</definedName>
    <definedName name="IQ_BALANCE_GOODS_SAAR" hidden="1">"c6814"</definedName>
    <definedName name="IQ_BALANCE_GOODS_SAAR_APR" hidden="1">"c7474"</definedName>
    <definedName name="IQ_BALANCE_GOODS_SAAR_APR_FC" hidden="1">"c8354"</definedName>
    <definedName name="IQ_BALANCE_GOODS_SAAR_FC" hidden="1">"c7694"</definedName>
    <definedName name="IQ_BALANCE_GOODS_SAAR_POP" hidden="1">"c7034"</definedName>
    <definedName name="IQ_BALANCE_GOODS_SAAR_POP_FC" hidden="1">"c7914"</definedName>
    <definedName name="IQ_BALANCE_GOODS_SAAR_USD_APR_FC" hidden="1">"c11762"</definedName>
    <definedName name="IQ_BALANCE_GOODS_SAAR_USD_FC" hidden="1">"c11759"</definedName>
    <definedName name="IQ_BALANCE_GOODS_SAAR_USD_POP_FC" hidden="1">"c11760"</definedName>
    <definedName name="IQ_BALANCE_GOODS_SAAR_USD_YOY_FC" hidden="1">"c11761"</definedName>
    <definedName name="IQ_BALANCE_GOODS_SAAR_YOY" hidden="1">"c7254"</definedName>
    <definedName name="IQ_BALANCE_GOODS_SAAR_YOY_FC" hidden="1">"c8134"</definedName>
    <definedName name="IQ_BALANCE_GOODS_UNUSED" hidden="1">"c6813"</definedName>
    <definedName name="IQ_BALANCE_GOODS_USD_APR_FC" hidden="1">"c11758"</definedName>
    <definedName name="IQ_BALANCE_GOODS_USD_FC" hidden="1">"c11755"</definedName>
    <definedName name="IQ_BALANCE_GOODS_USD_POP_FC" hidden="1">"c11756"</definedName>
    <definedName name="IQ_BALANCE_GOODS_USD_YOY_FC" hidden="1">"c11757"</definedName>
    <definedName name="IQ_BALANCE_GOODS_YOY_FC_UNUSED" hidden="1">"c8133"</definedName>
    <definedName name="IQ_BALANCE_GOODS_YOY_UNUSED" hidden="1">"c7253"</definedName>
    <definedName name="IQ_BALANCE_SERV_APR_FC_UNUSED" hidden="1">"c8355"</definedName>
    <definedName name="IQ_BALANCE_SERV_APR_UNUSED" hidden="1">"c7475"</definedName>
    <definedName name="IQ_BALANCE_SERV_FC_UNUSED" hidden="1">"c7695"</definedName>
    <definedName name="IQ_BALANCE_SERV_POP_FC_UNUSED" hidden="1">"c7915"</definedName>
    <definedName name="IQ_BALANCE_SERV_POP_UNUSED" hidden="1">"c7035"</definedName>
    <definedName name="IQ_BALANCE_SERV_SAAR" hidden="1">"c6816"</definedName>
    <definedName name="IQ_BALANCE_SERV_SAAR_APR" hidden="1">"c7476"</definedName>
    <definedName name="IQ_BALANCE_SERV_SAAR_APR_FC" hidden="1">"c8356"</definedName>
    <definedName name="IQ_BALANCE_SERV_SAAR_FC" hidden="1">"c7696"</definedName>
    <definedName name="IQ_BALANCE_SERV_SAAR_POP" hidden="1">"c7036"</definedName>
    <definedName name="IQ_BALANCE_SERV_SAAR_POP_FC" hidden="1">"c7916"</definedName>
    <definedName name="IQ_BALANCE_SERV_SAAR_YOY" hidden="1">"c7256"</definedName>
    <definedName name="IQ_BALANCE_SERV_SAAR_YOY_FC" hidden="1">"c8136"</definedName>
    <definedName name="IQ_BALANCE_SERV_UNUSED" hidden="1">"c6815"</definedName>
    <definedName name="IQ_BALANCE_SERV_USD_APR_FC" hidden="1">"c11766"</definedName>
    <definedName name="IQ_BALANCE_SERV_USD_FC" hidden="1">"c11763"</definedName>
    <definedName name="IQ_BALANCE_SERV_USD_POP_FC" hidden="1">"c11764"</definedName>
    <definedName name="IQ_BALANCE_SERV_USD_YOY_FC" hidden="1">"c11765"</definedName>
    <definedName name="IQ_BALANCE_SERV_YOY_FC_UNUSED" hidden="1">"c8135"</definedName>
    <definedName name="IQ_BALANCE_SERV_YOY_UNUSED" hidden="1">"c7255"</definedName>
    <definedName name="IQ_BALANCE_SERVICES_REAL" hidden="1">"c6954"</definedName>
    <definedName name="IQ_BALANCE_SERVICES_REAL_APR" hidden="1">"c7614"</definedName>
    <definedName name="IQ_BALANCE_SERVICES_REAL_APR_FC" hidden="1">"c8494"</definedName>
    <definedName name="IQ_BALANCE_SERVICES_REAL_FC" hidden="1">"c7834"</definedName>
    <definedName name="IQ_BALANCE_SERVICES_REAL_POP" hidden="1">"c7174"</definedName>
    <definedName name="IQ_BALANCE_SERVICES_REAL_POP_FC" hidden="1">"c8054"</definedName>
    <definedName name="IQ_BALANCE_SERVICES_REAL_SAAR" hidden="1">"c6955"</definedName>
    <definedName name="IQ_BALANCE_SERVICES_REAL_SAAR_APR" hidden="1">"c7615"</definedName>
    <definedName name="IQ_BALANCE_SERVICES_REAL_SAAR_APR_FC" hidden="1">"c8495"</definedName>
    <definedName name="IQ_BALANCE_SERVICES_REAL_SAAR_FC" hidden="1">"c7835"</definedName>
    <definedName name="IQ_BALANCE_SERVICES_REAL_SAAR_POP" hidden="1">"c7175"</definedName>
    <definedName name="IQ_BALANCE_SERVICES_REAL_SAAR_POP_FC" hidden="1">"c8055"</definedName>
    <definedName name="IQ_BALANCE_SERVICES_REAL_SAAR_YOY" hidden="1">"c7395"</definedName>
    <definedName name="IQ_BALANCE_SERVICES_REAL_SAAR_YOY_FC" hidden="1">"c8275"</definedName>
    <definedName name="IQ_BALANCE_SERVICES_REAL_USD_APR_FC" hidden="1">"c11897"</definedName>
    <definedName name="IQ_BALANCE_SERVICES_REAL_USD_FC" hidden="1">"c11894"</definedName>
    <definedName name="IQ_BALANCE_SERVICES_REAL_USD_POP_FC" hidden="1">"c11895"</definedName>
    <definedName name="IQ_BALANCE_SERVICES_REAL_USD_YOY_FC" hidden="1">"c11896"</definedName>
    <definedName name="IQ_BALANCE_SERVICES_REAL_YOY" hidden="1">"c7394"</definedName>
    <definedName name="IQ_BALANCE_SERVICES_REAL_YOY_FC" hidden="1">"c8274"</definedName>
    <definedName name="IQ_BALANCE_TRADE_APR_FC_UNUSED" hidden="1">"c8357"</definedName>
    <definedName name="IQ_BALANCE_TRADE_APR_UNUSED" hidden="1">"c7477"</definedName>
    <definedName name="IQ_BALANCE_TRADE_FC_UNUSED" hidden="1">"c7697"</definedName>
    <definedName name="IQ_BALANCE_TRADE_POP_FC_UNUSED" hidden="1">"c7917"</definedName>
    <definedName name="IQ_BALANCE_TRADE_POP_UNUSED" hidden="1">"c7037"</definedName>
    <definedName name="IQ_BALANCE_TRADE_REAL" hidden="1">"c6956"</definedName>
    <definedName name="IQ_BALANCE_TRADE_REAL_APR" hidden="1">"c7616"</definedName>
    <definedName name="IQ_BALANCE_TRADE_REAL_APR_FC" hidden="1">"c8496"</definedName>
    <definedName name="IQ_BALANCE_TRADE_REAL_FC" hidden="1">"c7836"</definedName>
    <definedName name="IQ_BALANCE_TRADE_REAL_POP" hidden="1">"c7176"</definedName>
    <definedName name="IQ_BALANCE_TRADE_REAL_POP_FC" hidden="1">"c8056"</definedName>
    <definedName name="IQ_BALANCE_TRADE_REAL_SAAR" hidden="1">"c6957"</definedName>
    <definedName name="IQ_BALANCE_TRADE_REAL_SAAR_APR" hidden="1">"c7617"</definedName>
    <definedName name="IQ_BALANCE_TRADE_REAL_SAAR_APR_FC" hidden="1">"c8497"</definedName>
    <definedName name="IQ_BALANCE_TRADE_REAL_SAAR_FC" hidden="1">"c7837"</definedName>
    <definedName name="IQ_BALANCE_TRADE_REAL_SAAR_POP" hidden="1">"c7177"</definedName>
    <definedName name="IQ_BALANCE_TRADE_REAL_SAAR_POP_FC" hidden="1">"c8057"</definedName>
    <definedName name="IQ_BALANCE_TRADE_REAL_SAAR_USD_APR_FC" hidden="1">"c11905"</definedName>
    <definedName name="IQ_BALANCE_TRADE_REAL_SAAR_USD_FC" hidden="1">"c11902"</definedName>
    <definedName name="IQ_BALANCE_TRADE_REAL_SAAR_USD_POP_FC" hidden="1">"c11903"</definedName>
    <definedName name="IQ_BALANCE_TRADE_REAL_SAAR_USD_YOY_FC" hidden="1">"c11904"</definedName>
    <definedName name="IQ_BALANCE_TRADE_REAL_SAAR_YOY" hidden="1">"c7397"</definedName>
    <definedName name="IQ_BALANCE_TRADE_REAL_SAAR_YOY_FC" hidden="1">"c8277"</definedName>
    <definedName name="IQ_BALANCE_TRADE_REAL_USD_APR_FC" hidden="1">"c11901"</definedName>
    <definedName name="IQ_BALANCE_TRADE_REAL_USD_FC" hidden="1">"c11898"</definedName>
    <definedName name="IQ_BALANCE_TRADE_REAL_USD_POP_FC" hidden="1">"c11899"</definedName>
    <definedName name="IQ_BALANCE_TRADE_REAL_USD_YOY_FC" hidden="1">"c11900"</definedName>
    <definedName name="IQ_BALANCE_TRADE_REAL_YOY" hidden="1">"c7396"</definedName>
    <definedName name="IQ_BALANCE_TRADE_REAL_YOY_FC" hidden="1">"c8276"</definedName>
    <definedName name="IQ_BALANCE_TRADE_SAAR" hidden="1">"c6818"</definedName>
    <definedName name="IQ_BALANCE_TRADE_SAAR_APR" hidden="1">"c7478"</definedName>
    <definedName name="IQ_BALANCE_TRADE_SAAR_APR_FC" hidden="1">"c8358"</definedName>
    <definedName name="IQ_BALANCE_TRADE_SAAR_FC" hidden="1">"c7698"</definedName>
    <definedName name="IQ_BALANCE_TRADE_SAAR_POP" hidden="1">"c7038"</definedName>
    <definedName name="IQ_BALANCE_TRADE_SAAR_POP_FC" hidden="1">"c7918"</definedName>
    <definedName name="IQ_BALANCE_TRADE_SAAR_USD_APR_FC" hidden="1">"c11774"</definedName>
    <definedName name="IQ_BALANCE_TRADE_SAAR_USD_FC" hidden="1">"c11771"</definedName>
    <definedName name="IQ_BALANCE_TRADE_SAAR_USD_POP_FC" hidden="1">"c11772"</definedName>
    <definedName name="IQ_BALANCE_TRADE_SAAR_USD_YOY_FC" hidden="1">"c11773"</definedName>
    <definedName name="IQ_BALANCE_TRADE_SAAR_YOY" hidden="1">"c7258"</definedName>
    <definedName name="IQ_BALANCE_TRADE_SAAR_YOY_FC" hidden="1">"c8138"</definedName>
    <definedName name="IQ_BALANCE_TRADE_UNUSED" hidden="1">"c6817"</definedName>
    <definedName name="IQ_BALANCE_TRADE_USD_APR_FC" hidden="1">"c11770"</definedName>
    <definedName name="IQ_BALANCE_TRADE_USD_FC" hidden="1">"c11767"</definedName>
    <definedName name="IQ_BALANCE_TRADE_USD_POP_FC" hidden="1">"c11768"</definedName>
    <definedName name="IQ_BALANCE_TRADE_USD_YOY_FC" hidden="1">"c11769"</definedName>
    <definedName name="IQ_BALANCE_TRADE_YOY_FC_UNUSED" hidden="1">"c8137"</definedName>
    <definedName name="IQ_BALANCE_TRADE_YOY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LOAN_LIST" hidden="1">"c13507"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ING_FEES_OPERATING_INC_FFIEC" hidden="1">"c13386"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OUTSTANDING_CURRENT_EST" hidden="1">"c4128"</definedName>
    <definedName name="IQ_BASIC_OUTSTANDING_CURRENT_HIGH_EST" hidden="1">"c4129"</definedName>
    <definedName name="IQ_BASIC_OUTSTANDING_CURRENT_LOW_EST" hidden="1">"c4130"</definedName>
    <definedName name="IQ_BASIC_OUTSTANDING_CURRENT_MEDIAN_EST" hidden="1">"c4131"</definedName>
    <definedName name="IQ_BASIC_OUTSTANDING_CURRENT_NUM_EST" hidden="1">"c4132"</definedName>
    <definedName name="IQ_BASIC_OUTSTANDING_CURRENT_STDDEV_EST" hidden="1">"c4133"</definedName>
    <definedName name="IQ_BASIC_OUTSTANDING_EST" hidden="1">"c4134"</definedName>
    <definedName name="IQ_BASIC_OUTSTANDING_HIGH_EST" hidden="1">"c4135"</definedName>
    <definedName name="IQ_BASIC_OUTSTANDING_LOW_EST" hidden="1">"c4136"</definedName>
    <definedName name="IQ_BASIC_OUTSTANDING_MEDIAN_EST" hidden="1">"c4137"</definedName>
    <definedName name="IQ_BASIC_OUTSTANDING_NUM_EST" hidden="1">"c4138"</definedName>
    <definedName name="IQ_BASIC_OUTSTANDING_STDDEV_EST" hidden="1">"c4139"</definedName>
    <definedName name="IQ_BASIC_WEIGHT" hidden="1">"c87"</definedName>
    <definedName name="IQ_BASIC_WEIGHT_EST" hidden="1">"c4140"</definedName>
    <definedName name="IQ_BASIC_WEIGHT_HIGH_EST" hidden="1">"c4142"</definedName>
    <definedName name="IQ_BASIC_WEIGHT_LOW_EST" hidden="1">"c4143"</definedName>
    <definedName name="IQ_BASIC_WEIGHT_MEDIAN_EST" hidden="1">"c4144"</definedName>
    <definedName name="IQ_BASIC_WEIGHT_NUM_EST" hidden="1">"c4145"</definedName>
    <definedName name="IQ_BASIC_WEIGHT_STDDEV_EST" hidden="1">"c4146"</definedName>
    <definedName name="IQ_BENCHMARK_SECURITY" hidden="1">"c2154"</definedName>
    <definedName name="IQ_BENCHMARK_SPRD" hidden="1">"c2153"</definedName>
    <definedName name="IQ_BENCHMARK_YIELD" hidden="1">"c8955"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"c11749"</definedName>
    <definedName name="IQ_BOARD_MEMBER" hidden="1">"c96"</definedName>
    <definedName name="IQ_BOARD_MEMBER_BACKGROUND" hidden="1">"c2101"</definedName>
    <definedName name="IQ_BOARD_MEMBER_ID" hidden="1">"c13756"</definedName>
    <definedName name="IQ_BOARD_MEMBER_TITLE" hidden="1">"c97"</definedName>
    <definedName name="IQ_BOND_COUPON" hidden="1">"c2183"</definedName>
    <definedName name="IQ_BOND_COUPON_TYPE" hidden="1">"c2184"</definedName>
    <definedName name="IQ_BOND_LIST" hidden="1">"c13505"</definedName>
    <definedName name="IQ_BOND_PRICE" hidden="1">"c2162"</definedName>
    <definedName name="IQ_BORROWED_MONEY_QUARTERLY_AVG_FFIEC" hidden="1">"c13091"</definedName>
    <definedName name="IQ_BORROWINGS_LESS_1YR_ASSETS_TOT_FFIEC" hidden="1">"c13450"</definedName>
    <definedName name="IQ_BROK_COMISSION" hidden="1">"c98"</definedName>
    <definedName name="IQ_BROK_COMMISSION" hidden="1">"c3514"</definedName>
    <definedName name="IQ_BROKERED_DEPOSITS_FDIC" hidden="1">"c6486"</definedName>
    <definedName name="IQ_BUDGET_BALANCE_APR_FC_UNUSED" hidden="1">"c8359"</definedName>
    <definedName name="IQ_BUDGET_BALANCE_APR_UNUSED" hidden="1">"c7479"</definedName>
    <definedName name="IQ_BUDGET_BALANCE_FC_UNUSED" hidden="1">"c7699"</definedName>
    <definedName name="IQ_BUDGET_BALANCE_POP_FC_UNUSED" hidden="1">"c7919"</definedName>
    <definedName name="IQ_BUDGET_BALANCE_POP_UNUSED" hidden="1">"c7039"</definedName>
    <definedName name="IQ_BUDGET_BALANCE_SAAR" hidden="1">"c6820"</definedName>
    <definedName name="IQ_BUDGET_BALANCE_SAAR_APR" hidden="1">"c7480"</definedName>
    <definedName name="IQ_BUDGET_BALANCE_SAAR_APR_FC" hidden="1">"c8360"</definedName>
    <definedName name="IQ_BUDGET_BALANCE_SAAR_FC" hidden="1">"c7700"</definedName>
    <definedName name="IQ_BUDGET_BALANCE_SAAR_POP" hidden="1">"c7040"</definedName>
    <definedName name="IQ_BUDGET_BALANCE_SAAR_POP_FC" hidden="1">"c7920"</definedName>
    <definedName name="IQ_BUDGET_BALANCE_SAAR_YOY" hidden="1">"c7260"</definedName>
    <definedName name="IQ_BUDGET_BALANCE_SAAR_YOY_FC" hidden="1">"c8140"</definedName>
    <definedName name="IQ_BUDGET_BALANCE_UNUSED" hidden="1">"c6819"</definedName>
    <definedName name="IQ_BUDGET_BALANCE_YOY_FC_UNUSED" hidden="1">"c8139"</definedName>
    <definedName name="IQ_BUDGET_BALANCE_YOY_UNUSED" hidden="1">"c7259"</definedName>
    <definedName name="IQ_BUDGET_RECEIPTS_APR_FC_UNUSED" hidden="1">"c8361"</definedName>
    <definedName name="IQ_BUDGET_RECEIPTS_APR_UNUSED" hidden="1">"c7481"</definedName>
    <definedName name="IQ_BUDGET_RECEIPTS_FC_UNUSED" hidden="1">"c7701"</definedName>
    <definedName name="IQ_BUDGET_RECEIPTS_POP_FC_UNUSED" hidden="1">"c7921"</definedName>
    <definedName name="IQ_BUDGET_RECEIPTS_POP_UNUSED" hidden="1">"c7041"</definedName>
    <definedName name="IQ_BUDGET_RECEIPTS_UNUSED" hidden="1">"c6821"</definedName>
    <definedName name="IQ_BUDGET_RECEIPTS_YOY_FC_UNUSED" hidden="1">"c8141"</definedName>
    <definedName name="IQ_BUDGET_RECEIPTS_YOY_UNUSED" hidden="1">"c7261"</definedName>
    <definedName name="IQ_BUDGET_SPENDING" hidden="1">"c6822"</definedName>
    <definedName name="IQ_BUDGET_SPENDING_APR" hidden="1">"c7482"</definedName>
    <definedName name="IQ_BUDGET_SPENDING_APR_FC" hidden="1">"c8362"</definedName>
    <definedName name="IQ_BUDGET_SPENDING_FC" hidden="1">"c7702"</definedName>
    <definedName name="IQ_BUDGET_SPENDING_POP" hidden="1">"c7042"</definedName>
    <definedName name="IQ_BUDGET_SPENDING_POP_FC" hidden="1">"c7922"</definedName>
    <definedName name="IQ_BUDGET_SPENDING_REAL" hidden="1">"c6958"</definedName>
    <definedName name="IQ_BUDGET_SPENDING_REAL_APR" hidden="1">"c7618"</definedName>
    <definedName name="IQ_BUDGET_SPENDING_REAL_APR_FC" hidden="1">"c8498"</definedName>
    <definedName name="IQ_BUDGET_SPENDING_REAL_FC" hidden="1">"c7838"</definedName>
    <definedName name="IQ_BUDGET_SPENDING_REAL_POP" hidden="1">"c7178"</definedName>
    <definedName name="IQ_BUDGET_SPENDING_REAL_POP_FC" hidden="1">"c8058"</definedName>
    <definedName name="IQ_BUDGET_SPENDING_REAL_SAAR" hidden="1">"c6959"</definedName>
    <definedName name="IQ_BUDGET_SPENDING_REAL_SAAR_APR" hidden="1">"c7619"</definedName>
    <definedName name="IQ_BUDGET_SPENDING_REAL_SAAR_APR_FC" hidden="1">"c8499"</definedName>
    <definedName name="IQ_BUDGET_SPENDING_REAL_SAAR_FC" hidden="1">"c7839"</definedName>
    <definedName name="IQ_BUDGET_SPENDING_REAL_SAAR_POP" hidden="1">"c7179"</definedName>
    <definedName name="IQ_BUDGET_SPENDING_REAL_SAAR_POP_FC" hidden="1">"c8059"</definedName>
    <definedName name="IQ_BUDGET_SPENDING_REAL_SAAR_USD" hidden="1">"c11906"</definedName>
    <definedName name="IQ_BUDGET_SPENDING_REAL_SAAR_USD_APR" hidden="1">"c11909"</definedName>
    <definedName name="IQ_BUDGET_SPENDING_REAL_SAAR_USD_POP" hidden="1">"c11907"</definedName>
    <definedName name="IQ_BUDGET_SPENDING_REAL_SAAR_USD_YOY" hidden="1">"c11908"</definedName>
    <definedName name="IQ_BUDGET_SPENDING_REAL_SAAR_YOY" hidden="1">"c7399"</definedName>
    <definedName name="IQ_BUDGET_SPENDING_REAL_SAAR_YOY_FC" hidden="1">"c8279"</definedName>
    <definedName name="IQ_BUDGET_SPENDING_REAL_YOY" hidden="1">"c7398"</definedName>
    <definedName name="IQ_BUDGET_SPENDING_REAL_YOY_FC" hidden="1">"c8278"</definedName>
    <definedName name="IQ_BUDGET_SPENDING_SAAR" hidden="1">"c6823"</definedName>
    <definedName name="IQ_BUDGET_SPENDING_SAAR_APR" hidden="1">"c7483"</definedName>
    <definedName name="IQ_BUDGET_SPENDING_SAAR_APR_FC" hidden="1">"c8363"</definedName>
    <definedName name="IQ_BUDGET_SPENDING_SAAR_FC" hidden="1">"c7703"</definedName>
    <definedName name="IQ_BUDGET_SPENDING_SAAR_POP" hidden="1">"c7043"</definedName>
    <definedName name="IQ_BUDGET_SPENDING_SAAR_POP_FC" hidden="1">"c7923"</definedName>
    <definedName name="IQ_BUDGET_SPENDING_SAAR_USD_APR_FC" hidden="1">"c11782"</definedName>
    <definedName name="IQ_BUDGET_SPENDING_SAAR_USD_FC" hidden="1">"c11779"</definedName>
    <definedName name="IQ_BUDGET_SPENDING_SAAR_USD_POP_FC" hidden="1">"c11780"</definedName>
    <definedName name="IQ_BUDGET_SPENDING_SAAR_USD_YOY_FC" hidden="1">"c11781"</definedName>
    <definedName name="IQ_BUDGET_SPENDING_SAAR_YOY" hidden="1">"c7263"</definedName>
    <definedName name="IQ_BUDGET_SPENDING_SAAR_YOY_FC" hidden="1">"c8143"</definedName>
    <definedName name="IQ_BUDGET_SPENDING_USD_APR_FC" hidden="1">"c11778"</definedName>
    <definedName name="IQ_BUDGET_SPENDING_USD_FC" hidden="1">"c11775"</definedName>
    <definedName name="IQ_BUDGET_SPENDING_USD_POP_FC" hidden="1">"c11776"</definedName>
    <definedName name="IQ_BUDGET_SPENDING_USD_YOY_FC" hidden="1">"c11777"</definedName>
    <definedName name="IQ_BUDGET_SPENDING_YOY" hidden="1">"c7262"</definedName>
    <definedName name="IQ_BUDGET_SPENDING_YOY_FC" hidden="1">"c8142"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COMBINATIONS_FFIEC" hidden="1">"c12967"</definedName>
    <definedName name="IQ_BUSINESS_DESCRIPTION" hidden="1">"c322"</definedName>
    <definedName name="IQ_BV_ACT_OR_EST_CIQ" hidden="1">"c5068"</definedName>
    <definedName name="IQ_BV_EST" hidden="1">"c5624"</definedName>
    <definedName name="IQ_BV_HIGH_EST" hidden="1">"c5626"</definedName>
    <definedName name="IQ_BV_LOW_EST" hidden="1">"c5627"</definedName>
    <definedName name="IQ_BV_MEDIAN_EST" hidden="1">"c5625"</definedName>
    <definedName name="IQ_BV_NUM_EST" hidden="1">"c5628"</definedName>
    <definedName name="IQ_BV_OVER_SHARES" hidden="1">"c1349"</definedName>
    <definedName name="IQ_BV_SHARE" hidden="1">"c100"</definedName>
    <definedName name="IQ_BV_SHARE_ACT_OR_EST" hidden="1">"c3587"</definedName>
    <definedName name="IQ_BV_SHARE_ACT_OR_EST_THOM" hidden="1">"c5312"</definedName>
    <definedName name="IQ_BV_SHARE_DET_EST" hidden="1">"c12047"</definedName>
    <definedName name="IQ_BV_SHARE_DET_EST_CURRENCY" hidden="1">"c12456"</definedName>
    <definedName name="IQ_BV_SHARE_DET_EST_CURRENCY_THOM" hidden="1">"c12476"</definedName>
    <definedName name="IQ_BV_SHARE_DET_EST_DATE" hidden="1">"c12200"</definedName>
    <definedName name="IQ_BV_SHARE_DET_EST_DATE_THOM" hidden="1">"c12225"</definedName>
    <definedName name="IQ_BV_SHARE_DET_EST_INCL" hidden="1">"c12339"</definedName>
    <definedName name="IQ_BV_SHARE_DET_EST_INCL_THOM" hidden="1">"c12359"</definedName>
    <definedName name="IQ_BV_SHARE_DET_EST_ORIGIN" hidden="1">"c12573"</definedName>
    <definedName name="IQ_BV_SHARE_DET_EST_ORIGIN_THOM" hidden="1">"c12595"</definedName>
    <definedName name="IQ_BV_SHARE_DET_EST_THOM" hidden="1">"c12075"</definedName>
    <definedName name="IQ_BV_SHARE_EST" hidden="1">"c3541"</definedName>
    <definedName name="IQ_BV_SHARE_EST_THOM" hidden="1">"c4020"</definedName>
    <definedName name="IQ_BV_SHARE_HIGH_EST" hidden="1">"c3542"</definedName>
    <definedName name="IQ_BV_SHARE_HIGH_EST_THOM" hidden="1">"c4022"</definedName>
    <definedName name="IQ_BV_SHARE_LOW_EST" hidden="1">"c3543"</definedName>
    <definedName name="IQ_BV_SHARE_LOW_EST_THOM" hidden="1">"c4023"</definedName>
    <definedName name="IQ_BV_SHARE_MEDIAN_EST" hidden="1">"c3544"</definedName>
    <definedName name="IQ_BV_SHARE_MEDIAN_EST_THOM" hidden="1">"c4021"</definedName>
    <definedName name="IQ_BV_SHARE_NUM_EST" hidden="1">"c3539"</definedName>
    <definedName name="IQ_BV_SHARE_NUM_EST_THOM" hidden="1">"c4024"</definedName>
    <definedName name="IQ_BV_SHARE_STDDEV_EST" hidden="1">"c3540"</definedName>
    <definedName name="IQ_BV_SHARE_STDDEV_EST_THOM" hidden="1">"c4025"</definedName>
    <definedName name="IQ_BV_STDDEV_EST" hidden="1">"c5629"</definedName>
    <definedName name="IQ_CA_AP" hidden="1">"c8881"</definedName>
    <definedName name="IQ_CA_AP_ABS" hidden="1">"c8900"</definedName>
    <definedName name="IQ_CA_NAME_AP" hidden="1">"c8919"</definedName>
    <definedName name="IQ_CA_NAME_AP_ABS" hidden="1">"c8938"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Q_EST" hidden="1">"c6796"</definedName>
    <definedName name="IQ_CAL_Q_EST_CIQ" hidden="1">"c6808"</definedName>
    <definedName name="IQ_CAL_Q_EST_THOM" hidden="1">"c6804"</definedName>
    <definedName name="IQ_CAL_Y" hidden="1">"c102"</definedName>
    <definedName name="IQ_CAL_Y_EST" hidden="1">"c6797"</definedName>
    <definedName name="IQ_CAL_Y_EST_CIQ" hidden="1">"c6809"</definedName>
    <definedName name="IQ_CAL_Y_EST_THOM" hidden="1">"c6805"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_UTIL_RATE" hidden="1">"c6824"</definedName>
    <definedName name="IQ_CAP_UTIL_RATE_POP" hidden="1">"c7044"</definedName>
    <definedName name="IQ_CAP_UTIL_RATE_YOY" hidden="1">"c7264"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" hidden="1">"c3584"</definedName>
    <definedName name="IQ_CAPEX_ACT_OR_EST_THOM" hidden="1">"c5546"</definedName>
    <definedName name="IQ_CAPEX_BNK" hidden="1">"c110"</definedName>
    <definedName name="IQ_CAPEX_BR" hidden="1">"c111"</definedName>
    <definedName name="IQ_CAPEX_DET_EST" hidden="1">"c12048"</definedName>
    <definedName name="IQ_CAPEX_DET_EST_CURRENCY" hidden="1">"c12457"</definedName>
    <definedName name="IQ_CAPEX_DET_EST_CURRENCY_THOM" hidden="1">"c12477"</definedName>
    <definedName name="IQ_CAPEX_DET_EST_DATE" hidden="1">"c12201"</definedName>
    <definedName name="IQ_CAPEX_DET_EST_DATE_THOM" hidden="1">"c12226"</definedName>
    <definedName name="IQ_CAPEX_DET_EST_INCL" hidden="1">"c12340"</definedName>
    <definedName name="IQ_CAPEX_DET_EST_INCL_THOM" hidden="1">"c12360"</definedName>
    <definedName name="IQ_CAPEX_DET_EST_ORIGIN" hidden="1">"c12765"</definedName>
    <definedName name="IQ_CAPEX_DET_EST_ORIGIN_THOM" hidden="1">"c12596"</definedName>
    <definedName name="IQ_CAPEX_DET_EST_THOM" hidden="1">"c12076"</definedName>
    <definedName name="IQ_CAPEX_EST" hidden="1">"c3523"</definedName>
    <definedName name="IQ_CAPEX_EST_THOM" hidden="1">"c5502"</definedName>
    <definedName name="IQ_CAPEX_FIN" hidden="1">"c112"</definedName>
    <definedName name="IQ_CAPEX_HIGH_EST" hidden="1">"c3524"</definedName>
    <definedName name="IQ_CAPEX_HIGH_EST_THOM" hidden="1">"c5504"</definedName>
    <definedName name="IQ_CAPEX_INS" hidden="1">"c113"</definedName>
    <definedName name="IQ_CAPEX_LOW_EST" hidden="1">"c3525"</definedName>
    <definedName name="IQ_CAPEX_LOW_EST_THOM" hidden="1">"c5505"</definedName>
    <definedName name="IQ_CAPEX_MEDIAN_EST" hidden="1">"c3526"</definedName>
    <definedName name="IQ_CAPEX_MEDIAN_EST_THOM" hidden="1">"c5503"</definedName>
    <definedName name="IQ_CAPEX_NUM_EST" hidden="1">"c3521"</definedName>
    <definedName name="IQ_CAPEX_NUM_EST_THOM" hidden="1">"c5506"</definedName>
    <definedName name="IQ_CAPEX_STDDEV_EST" hidden="1">"c3522"</definedName>
    <definedName name="IQ_CAPEX_STDDEV_EST_THOM" hidden="1">"c5507"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_RAISED_PERIOD_COVERED" hidden="1">"c9959"</definedName>
    <definedName name="IQ_CAPITAL_RAISED_PERIOD_GROUP" hidden="1">"c9945"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BALANCES_DUE_FFIEC" hidden="1">"c12773"</definedName>
    <definedName name="IQ_CASH_CONVERSION" hidden="1">"c117"</definedName>
    <definedName name="IQ_CASH_COST_ALUM" hidden="1">"c9252"</definedName>
    <definedName name="IQ_CASH_COST_COAL" hidden="1">"c9825"</definedName>
    <definedName name="IQ_CASH_COST_COP" hidden="1">"c9199"</definedName>
    <definedName name="IQ_CASH_COST_DIAM" hidden="1">"c9676"</definedName>
    <definedName name="IQ_CASH_COST_GOLD" hidden="1">"c9037"</definedName>
    <definedName name="IQ_CASH_COST_IRON" hidden="1">"c9411"</definedName>
    <definedName name="IQ_CASH_COST_LEAD" hidden="1">"c9464"</definedName>
    <definedName name="IQ_CASH_COST_MANG" hidden="1">"c9517"</definedName>
    <definedName name="IQ_CASH_COST_MET_COAL" hidden="1">"c9762"</definedName>
    <definedName name="IQ_CASH_COST_MOLYB" hidden="1">"c9729"</definedName>
    <definedName name="IQ_CASH_COST_NICK" hidden="1">"c9305"</definedName>
    <definedName name="IQ_CASH_COST_PLAT" hidden="1">"c9143"</definedName>
    <definedName name="IQ_CASH_COST_SILVER" hidden="1">"c9090"</definedName>
    <definedName name="IQ_CASH_COST_STEAM" hidden="1">"c9792"</definedName>
    <definedName name="IQ_CASH_COST_TITAN" hidden="1">"c9570"</definedName>
    <definedName name="IQ_CASH_COST_URAN" hidden="1">"c9623"</definedName>
    <definedName name="IQ_CASH_COST_ZINC" hidden="1">"c9358"</definedName>
    <definedName name="IQ_CASH_DIVIDENDS_NET_INCOME_FDIC" hidden="1">"c6738"</definedName>
    <definedName name="IQ_CASH_DUE_BANKS" hidden="1">"c1351"</definedName>
    <definedName name="IQ_CASH_EPS_ACT_OR_EST" hidden="1">"c5638"</definedName>
    <definedName name="IQ_CASH_EPS_ACT_OR_EST_THOM" hidden="1">"c5646"</definedName>
    <definedName name="IQ_CASH_EPS_DET_EST_CURRENCY_THOM" hidden="1">"c12478"</definedName>
    <definedName name="IQ_CASH_EPS_DET_EST_DATE_THOM" hidden="1">"c12227"</definedName>
    <definedName name="IQ_CASH_EPS_DET_EST_INCL_THOM" hidden="1">"c12361"</definedName>
    <definedName name="IQ_CASH_EPS_DET_EST_ORIGIN_THOM" hidden="1">"c12597"</definedName>
    <definedName name="IQ_CASH_EPS_DET_EST_THOM" hidden="1">"c12077"</definedName>
    <definedName name="IQ_CASH_EPS_EST" hidden="1">"c5631"</definedName>
    <definedName name="IQ_CASH_EPS_EST_THOM" hidden="1">"c5639"</definedName>
    <definedName name="IQ_CASH_EPS_HIGH_EST" hidden="1">"c5633"</definedName>
    <definedName name="IQ_CASH_EPS_HIGH_EST_THOM" hidden="1">"c5641"</definedName>
    <definedName name="IQ_CASH_EPS_LOW_EST" hidden="1">"c5634"</definedName>
    <definedName name="IQ_CASH_EPS_LOW_EST_THOM" hidden="1">"c5642"</definedName>
    <definedName name="IQ_CASH_EPS_MEDIAN_EST" hidden="1">"c5632"</definedName>
    <definedName name="IQ_CASH_EPS_MEDIAN_EST_THOM" hidden="1">"c5640"</definedName>
    <definedName name="IQ_CASH_EPS_NUM_EST" hidden="1">"c5635"</definedName>
    <definedName name="IQ_CASH_EPS_NUM_EST_THOM" hidden="1">"c5643"</definedName>
    <definedName name="IQ_CASH_EPS_STDDEV_EST" hidden="1">"c5636"</definedName>
    <definedName name="IQ_CASH_EPS_STDDEV_EST_THOM" hidden="1">"c5644"</definedName>
    <definedName name="IQ_CASH_EQUIV" hidden="1">"c118"</definedName>
    <definedName name="IQ_CASH_FINAN" hidden="1">"c119"</definedName>
    <definedName name="IQ_CASH_FINAN_AP" hidden="1">"c8890"</definedName>
    <definedName name="IQ_CASH_FINAN_AP_ABS" hidden="1">"c8909"</definedName>
    <definedName name="IQ_CASH_FINAN_NAME_AP" hidden="1">"c8928"</definedName>
    <definedName name="IQ_CASH_FINAN_NAME_AP_ABS" hidden="1">"c8947"</definedName>
    <definedName name="IQ_CASH_FINAN_SUBTOTAL_AP" hidden="1">"c10111"</definedName>
    <definedName name="IQ_CASH_FLOW_ACT_OR_EST" hidden="1">"c4154"</definedName>
    <definedName name="IQ_CASH_FLOW_ACT_OR_EST_CIQ" hidden="1">"c4566"</definedName>
    <definedName name="IQ_CASH_FLOW_EST" hidden="1">"c4153"</definedName>
    <definedName name="IQ_CASH_FLOW_HIGH_EST" hidden="1">"c4156"</definedName>
    <definedName name="IQ_CASH_FLOW_LOW_EST" hidden="1">"c4157"</definedName>
    <definedName name="IQ_CASH_FLOW_MEDIAN_EST" hidden="1">"c4158"</definedName>
    <definedName name="IQ_CASH_FLOW_NUM_EST" hidden="1">"c4159"</definedName>
    <definedName name="IQ_CASH_FLOW_STDDEV_EST" hidden="1">"c4160"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NET" hidden="1">"c12753"</definedName>
    <definedName name="IQ_CASH_INTEREST_OPER" hidden="1">"c6293"</definedName>
    <definedName name="IQ_CASH_INTEREST_RECEIVED" hidden="1">"c12754"</definedName>
    <definedName name="IQ_CASH_INVEST" hidden="1">"c121"</definedName>
    <definedName name="IQ_CASH_INVEST_AP" hidden="1">"c8889"</definedName>
    <definedName name="IQ_CASH_INVEST_AP_ABS" hidden="1">"c8908"</definedName>
    <definedName name="IQ_CASH_INVEST_NAME_AP" hidden="1">"c8927"</definedName>
    <definedName name="IQ_CASH_INVEST_NAME_AP_ABS" hidden="1">"c8946"</definedName>
    <definedName name="IQ_CASH_INVEST_SUBTOTAL_AP" hidden="1">"c8991"</definedName>
    <definedName name="IQ_CASH_OPER" hidden="1">"c122"</definedName>
    <definedName name="IQ_CASH_OPER_ACT_OR_EST" hidden="1">"c4164"</definedName>
    <definedName name="IQ_CASH_OPER_ACT_OR_EST_CIQ" hidden="1">"c4576"</definedName>
    <definedName name="IQ_CASH_OPER_AP" hidden="1">"c8888"</definedName>
    <definedName name="IQ_CASH_OPER_AP_ABS" hidden="1">"c8907"</definedName>
    <definedName name="IQ_CASH_OPER_EST" hidden="1">"c4163"</definedName>
    <definedName name="IQ_CASH_OPER_HIGH_EST" hidden="1">"c4166"</definedName>
    <definedName name="IQ_CASH_OPER_LOW_EST" hidden="1">"c4244"</definedName>
    <definedName name="IQ_CASH_OPER_MEDIAN_EST" hidden="1">"c4245"</definedName>
    <definedName name="IQ_CASH_OPER_NAME_AP" hidden="1">"c8926"</definedName>
    <definedName name="IQ_CASH_OPER_NAME_AP_ABS" hidden="1">"c8945"</definedName>
    <definedName name="IQ_CASH_OPER_NUM_EST" hidden="1">"c4246"</definedName>
    <definedName name="IQ_CASH_OPER_STDDEV_EST" hidden="1">"c4247"</definedName>
    <definedName name="IQ_CASH_OPER_SUBTOTAL_AP" hidden="1">"c8990"</definedName>
    <definedName name="IQ_CASH_OTHER_ADJ_AP" hidden="1">"c8891"</definedName>
    <definedName name="IQ_CASH_OTHER_ADJ_AP_ABS" hidden="1">"c8910"</definedName>
    <definedName name="IQ_CASH_OTHER_ADJ_NAME_AP" hidden="1">"c8929"</definedName>
    <definedName name="IQ_CASH_OTHER_ADJ_NAME_AP_ABS" hidden="1">"c8948"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EST" hidden="1">"c4249"</definedName>
    <definedName name="IQ_CASH_ST_INVEST_HIGH_EST" hidden="1">"c4251"</definedName>
    <definedName name="IQ_CASH_ST_INVEST_LOW_EST" hidden="1">"c4252"</definedName>
    <definedName name="IQ_CASH_ST_INVEST_MEDIAN_EST" hidden="1">"c4253"</definedName>
    <definedName name="IQ_CASH_ST_INVEST_NUM_EST" hidden="1">"c4254"</definedName>
    <definedName name="IQ_CASH_ST_INVEST_STDDEV_EST" hidden="1">"c4255"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5YR_CIQID" hidden="1">"c11751"</definedName>
    <definedName name="IQ_CDS_ASK" hidden="1">"c6027"</definedName>
    <definedName name="IQ_CDS_BID" hidden="1">"c6026"</definedName>
    <definedName name="IQ_CDS_CURRENCY" hidden="1">"c6031"</definedName>
    <definedName name="IQ_CDS_DERIVATIVES_BENEFICIARY_FFIEC" hidden="1">"c13119"</definedName>
    <definedName name="IQ_CDS_DERIVATIVES_GUARANTOR_FFIEC" hidden="1">"c13112"</definedName>
    <definedName name="IQ_CDS_EVAL_DATE" hidden="1">"c6029"</definedName>
    <definedName name="IQ_CDS_LIST" hidden="1">"c13510"</definedName>
    <definedName name="IQ_CDS_LOAN_LIST" hidden="1">"c13518"</definedName>
    <definedName name="IQ_CDS_MID" hidden="1">"c6028"</definedName>
    <definedName name="IQ_CDS_NAME" hidden="1">"c6034"</definedName>
    <definedName name="IQ_CDS_SENIOR_LIST" hidden="1">"c13508"</definedName>
    <definedName name="IQ_CDS_SUB_LIST" hidden="1">"c13509"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PS_ACT_OR_EST" hidden="1">"c2217"</definedName>
    <definedName name="IQ_CFPS_ACT_OR_EST_THOM" hidden="1">"c5301"</definedName>
    <definedName name="IQ_CFPS_DET_EST" hidden="1">"c12049"</definedName>
    <definedName name="IQ_CFPS_DET_EST_CURRENCY" hidden="1">"c12458"</definedName>
    <definedName name="IQ_CFPS_DET_EST_CURRENCY_THOM" hidden="1">"c12479"</definedName>
    <definedName name="IQ_CFPS_DET_EST_DATE" hidden="1">"c12202"</definedName>
    <definedName name="IQ_CFPS_DET_EST_DATE_THOM" hidden="1">"c12228"</definedName>
    <definedName name="IQ_CFPS_DET_EST_INCL" hidden="1">"c12341"</definedName>
    <definedName name="IQ_CFPS_DET_EST_INCL_THOM" hidden="1">"c12362"</definedName>
    <definedName name="IQ_CFPS_DET_EST_ORIGIN" hidden="1">"c12575"</definedName>
    <definedName name="IQ_CFPS_DET_EST_ORIGIN_THOM" hidden="1">"c12598"</definedName>
    <definedName name="IQ_CFPS_DET_EST_THOM" hidden="1">"c12078"</definedName>
    <definedName name="IQ_CFPS_EST" hidden="1">"c1667"</definedName>
    <definedName name="IQ_CFPS_EST_THOM" hidden="1">"c4006"</definedName>
    <definedName name="IQ_CFPS_HIGH_EST" hidden="1">"c1669"</definedName>
    <definedName name="IQ_CFPS_HIGH_EST_THOM" hidden="1">"c4008"</definedName>
    <definedName name="IQ_CFPS_LOW_EST" hidden="1">"c1670"</definedName>
    <definedName name="IQ_CFPS_LOW_EST_THOM" hidden="1">"c4009"</definedName>
    <definedName name="IQ_CFPS_MEDIAN_EST" hidden="1">"c1668"</definedName>
    <definedName name="IQ_CFPS_MEDIAN_EST_THOM" hidden="1">"c4007"</definedName>
    <definedName name="IQ_CFPS_NUM_EST" hidden="1">"c1671"</definedName>
    <definedName name="IQ_CFPS_NUM_EST_THOM" hidden="1">"c4010"</definedName>
    <definedName name="IQ_CFPS_STDDEV_EST" hidden="1">"c1672"</definedName>
    <definedName name="IQ_CFPS_STDDEV_EST_THOM" hidden="1">"c4011"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FAIR_VALUE_FINANCIAL_LIAB_T1_FFIEC" hidden="1">"c13138"</definedName>
    <definedName name="IQ_CHANGE_FAIR_VALUE_OPTIONS_FFIEC" hidden="1">"c13045"</definedName>
    <definedName name="IQ_CHANGE_INC_TAX" hidden="1">"c149"</definedName>
    <definedName name="IQ_CHANGE_INS_RES_LIAB" hidden="1">"c150"</definedName>
    <definedName name="IQ_CHANGE_INVENT" hidden="1">"c6826"</definedName>
    <definedName name="IQ_CHANGE_INVENT_APR" hidden="1">"c7486"</definedName>
    <definedName name="IQ_CHANGE_INVENT_POP" hidden="1">"c7046"</definedName>
    <definedName name="IQ_CHANGE_INVENT_REAL_APR_FC_UNUSED" hidden="1">"c8500"</definedName>
    <definedName name="IQ_CHANGE_INVENT_REAL_APR_UNUSED" hidden="1">"c7620"</definedName>
    <definedName name="IQ_CHANGE_INVENT_REAL_FC_UNUSED" hidden="1">"c7840"</definedName>
    <definedName name="IQ_CHANGE_INVENT_REAL_POP_FC_UNUSED" hidden="1">"c8060"</definedName>
    <definedName name="IQ_CHANGE_INVENT_REAL_POP_UNUSED" hidden="1">"c7180"</definedName>
    <definedName name="IQ_CHANGE_INVENT_REAL_SAAR" hidden="1">"c6962"</definedName>
    <definedName name="IQ_CHANGE_INVENT_REAL_SAAR_APR" hidden="1">"c7622"</definedName>
    <definedName name="IQ_CHANGE_INVENT_REAL_SAAR_APR_FC" hidden="1">"c8502"</definedName>
    <definedName name="IQ_CHANGE_INVENT_REAL_SAAR_FC" hidden="1">"c7842"</definedName>
    <definedName name="IQ_CHANGE_INVENT_REAL_SAAR_POP" hidden="1">"c7182"</definedName>
    <definedName name="IQ_CHANGE_INVENT_REAL_SAAR_POP_FC" hidden="1">"c8062"</definedName>
    <definedName name="IQ_CHANGE_INVENT_REAL_SAAR_USD_APR_FC" hidden="1">"c11917"</definedName>
    <definedName name="IQ_CHANGE_INVENT_REAL_SAAR_USD_FC" hidden="1">"c11914"</definedName>
    <definedName name="IQ_CHANGE_INVENT_REAL_SAAR_USD_POP_FC" hidden="1">"c11915"</definedName>
    <definedName name="IQ_CHANGE_INVENT_REAL_SAAR_USD_YOY_FC" hidden="1">"c11916"</definedName>
    <definedName name="IQ_CHANGE_INVENT_REAL_SAAR_YOY" hidden="1">"c7402"</definedName>
    <definedName name="IQ_CHANGE_INVENT_REAL_SAAR_YOY_FC" hidden="1">"c8282"</definedName>
    <definedName name="IQ_CHANGE_INVENT_REAL_UNUSED" hidden="1">"c6960"</definedName>
    <definedName name="IQ_CHANGE_INVENT_REAL_USD_APR_FC" hidden="1">"c11913"</definedName>
    <definedName name="IQ_CHANGE_INVENT_REAL_USD_FC" hidden="1">"c11910"</definedName>
    <definedName name="IQ_CHANGE_INVENT_REAL_USD_POP_FC" hidden="1">"c11911"</definedName>
    <definedName name="IQ_CHANGE_INVENT_REAL_USD_YOY_FC" hidden="1">"c11912"</definedName>
    <definedName name="IQ_CHANGE_INVENT_REAL_YOY_FC_UNUSED" hidden="1">"c8280"</definedName>
    <definedName name="IQ_CHANGE_INVENT_REAL_YOY_UNUSED" hidden="1">"c7400"</definedName>
    <definedName name="IQ_CHANGE_INVENT_SAAR" hidden="1">"c6827"</definedName>
    <definedName name="IQ_CHANGE_INVENT_SAAR_APR" hidden="1">"c7487"</definedName>
    <definedName name="IQ_CHANGE_INVENT_SAAR_APR_FC" hidden="1">"c8367"</definedName>
    <definedName name="IQ_CHANGE_INVENT_SAAR_FC" hidden="1">"c7707"</definedName>
    <definedName name="IQ_CHANGE_INVENT_SAAR_POP" hidden="1">"c7047"</definedName>
    <definedName name="IQ_CHANGE_INVENT_SAAR_POP_FC" hidden="1">"c7927"</definedName>
    <definedName name="IQ_CHANGE_INVENT_SAAR_YOY" hidden="1">"c7267"</definedName>
    <definedName name="IQ_CHANGE_INVENT_SAAR_YOY_FC" hidden="1">"c8147"</definedName>
    <definedName name="IQ_CHANGE_INVENT_YOY" hidden="1">"c7266"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PRIVATE_INVENT" hidden="1">"c6828"</definedName>
    <definedName name="IQ_CHANGE_PRIVATE_INVENT_APR" hidden="1">"c7488"</definedName>
    <definedName name="IQ_CHANGE_PRIVATE_INVENT_APR_FC" hidden="1">"c8368"</definedName>
    <definedName name="IQ_CHANGE_PRIVATE_INVENT_FC" hidden="1">"c7708"</definedName>
    <definedName name="IQ_CHANGE_PRIVATE_INVENT_POP" hidden="1">"c7048"</definedName>
    <definedName name="IQ_CHANGE_PRIVATE_INVENT_POP_FC" hidden="1">"c7928"</definedName>
    <definedName name="IQ_CHANGE_PRIVATE_INVENT_YOY" hidden="1">"c7268"</definedName>
    <definedName name="IQ_CHANGE_PRIVATE_INVENT_YOY_FC" hidden="1">"c8148"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HICAGO_PMI" hidden="1">"c6829"</definedName>
    <definedName name="IQ_CHICAGO_PMI_APR" hidden="1">"c7489"</definedName>
    <definedName name="IQ_CHICAGO_PMI_APR_FC" hidden="1">"c8369"</definedName>
    <definedName name="IQ_CHICAGO_PMI_FC" hidden="1">"c7709"</definedName>
    <definedName name="IQ_CHICAGO_PMI_POP" hidden="1">"c7049"</definedName>
    <definedName name="IQ_CHICAGO_PMI_POP_FC" hidden="1">"c7929"</definedName>
    <definedName name="IQ_CHICAGO_PMI_YOY" hidden="1">"c7269"</definedName>
    <definedName name="IQ_CHICAGO_PMI_YOY_FC" hidden="1">"c8149"</definedName>
    <definedName name="IQ_CITY" hidden="1">"c166"</definedName>
    <definedName name="IQ_CL_AP" hidden="1">"c8884"</definedName>
    <definedName name="IQ_CL_AP_ABS" hidden="1">"c8903"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NAME_AP" hidden="1">"c8922"</definedName>
    <definedName name="IQ_CL_NAME_AP_ABS" hidden="1">"c8941"</definedName>
    <definedName name="IQ_CL_OBLIGATION_IMMEDIATE" hidden="1">"c2253"</definedName>
    <definedName name="IQ_CLAIMS_ADJUSTMENT_EXP_PC_FFIEC" hidden="1">"c13100"</definedName>
    <definedName name="IQ_CLASS_MARKETCAP" hidden="1">"c13512"</definedName>
    <definedName name="IQ_CLASS_SHARESOUTSTANDING" hidden="1">"c13513"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D_END_1_4_FAM_LOANS_TOT_LOANS_FFIEC" hidden="1">"c13866"</definedName>
    <definedName name="IQ_CLOSED_END_1_4_FIRST_LIENS_TRADING_DOM_FFIEC" hidden="1">"c12928"</definedName>
    <definedName name="IQ_CLOSED_END_1_4_JR_LIENS_LL_REC_DOM_FFIEC" hidden="1">"c12904"</definedName>
    <definedName name="IQ_CLOSED_END_1_4_JUNIOR_LIENS_TRADING_DOM_FFIEC" hidden="1">"c12929"</definedName>
    <definedName name="IQ_CLOSED_END_SEC_1_4_1ST_LIENS_CHARGE_OFFS_FFIEC" hidden="1">"c13169"</definedName>
    <definedName name="IQ_CLOSED_END_SEC_1_4_1ST_LIENS_DUE_30_89_FFIEC" hidden="1">"c13261"</definedName>
    <definedName name="IQ_CLOSED_END_SEC_1_4_1ST_LIENS_DUE_90_FFIEC" hidden="1">"c13289"</definedName>
    <definedName name="IQ_CLOSED_END_SEC_1_4_1ST_LIENS_NON_ACCRUAL_FFIEC" hidden="1">"c13315"</definedName>
    <definedName name="IQ_CLOSED_END_SEC_1_4_1ST_LIENS_RECOV_FFIEC" hidden="1">"c13191"</definedName>
    <definedName name="IQ_CLOSED_END_SEC_1_4_JR_LIENS_CHARGE_OFFS_FFIEC" hidden="1">"c13170"</definedName>
    <definedName name="IQ_CLOSED_END_SEC_1_4_JR_LIENS_DUE_30_89_FFIEC" hidden="1">"c13262"</definedName>
    <definedName name="IQ_CLOSED_END_SEC_1_4_JR_LIENS_DUE_90_FFIEC" hidden="1">"c13290"</definedName>
    <definedName name="IQ_CLOSED_END_SEC_1_4_JR_LIENS_NON_ACCRUAL_FFIEC" hidden="1">"c13316"</definedName>
    <definedName name="IQ_CLOSED_END_SEC_1_4_JR_LIENS_RECOV_FFIEC" hidden="1">"c13192"</definedName>
    <definedName name="IQ_CLOSED_END_SECURED_1_4_FIRST_LIENS_LL_REC_DOM_FFIEC" hidden="1">"c12903"</definedName>
    <definedName name="IQ_CLOSED_LOANS_GROSS_LOANS_FFIEC" hidden="1">"c13399"</definedName>
    <definedName name="IQ_CLOSED_LOANS_RISK_BASED_FFIEC" hidden="1">"c13420"</definedName>
    <definedName name="IQ_CLOSEPRICE" hidden="1">"c174"</definedName>
    <definedName name="IQ_CLOSEPRICE_ADJ" hidden="1">"c2115"</definedName>
    <definedName name="IQ_CMBS_ISSUED_AVAIL_SALE_FFIEC" hidden="1">"c12800"</definedName>
    <definedName name="IQ_CMBS_ISSUED_FFIEC" hidden="1">"c12786"</definedName>
    <definedName name="IQ_CMO_FDIC" hidden="1">"c6406"</definedName>
    <definedName name="IQ_COGS" hidden="1">"c175"</definedName>
    <definedName name="IQ_COLLATERAL_TYPE" hidden="1">"c8954"</definedName>
    <definedName name="IQ_COLLECTION_DOMESTIC_FDIC" hidden="1">"c6387"</definedName>
    <definedName name="IQ_COM_TARGET_PRICE" hidden="1">"c13606"</definedName>
    <definedName name="IQ_COM_TARGET_PRICE_CIQ" hidden="1">"c13599"</definedName>
    <definedName name="IQ_COM_TARGET_PRICE_HIGH" hidden="1">"c13607"</definedName>
    <definedName name="IQ_COM_TARGET_PRICE_HIGH_CIQ" hidden="1">"c13600"</definedName>
    <definedName name="IQ_COM_TARGET_PRICE_LOW" hidden="1">"c13608"</definedName>
    <definedName name="IQ_COM_TARGET_PRICE_LOW_CIQ" hidden="1">"c13601"</definedName>
    <definedName name="IQ_COM_TARGET_PRICE_MEDIAN" hidden="1">"c13609"</definedName>
    <definedName name="IQ_COM_TARGET_PRICE_MEDIAN_CIQ" hidden="1">"c13602"</definedName>
    <definedName name="IQ_COM_TARGET_PRICE_NUM" hidden="1">"c13604"</definedName>
    <definedName name="IQ_COM_TARGET_PRICE_NUM_CIQ" hidden="1">"c13597"</definedName>
    <definedName name="IQ_COM_TARGET_PRICE_STDDEV" hidden="1">"c13605"</definedName>
    <definedName name="IQ_COM_TARGET_PRICE_STDDEV_CIQ" hidden="1">"c13598"</definedName>
    <definedName name="IQ_COMBINED_RATIO" hidden="1">"c176"</definedName>
    <definedName name="IQ_COMM_IND_LOANS_TOT_LOANS_FFIEC" hidden="1">"c13874"</definedName>
    <definedName name="IQ_COMM_INDUSTRIAL_LOANS_FFIEC" hidden="1">"c12821"</definedName>
    <definedName name="IQ_COMM_INDUSTRIAL_NON_US_LL_REC_FFIEC" hidden="1">"c12888"</definedName>
    <definedName name="IQ_COMM_INDUSTRIAL_US_LL_REC_FFIEC" hidden="1">"c12887"</definedName>
    <definedName name="IQ_COMM_RE_FARM_LOANS_TOT_LOANS_FFIEC" hidden="1">"c13872"</definedName>
    <definedName name="IQ_COMM_RE_NONFARM_NONRES_TOT_LOANS_FFIEC" hidden="1">"c13871"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GROSS_LOANS_FFIEC" hidden="1">"c13410"</definedName>
    <definedName name="IQ_COMMERCIAL_INDUSTRIAL_LOANS_DUE_30_89_FFIEC" hidden="1">"c13271"</definedName>
    <definedName name="IQ_COMMERCIAL_INDUSTRIAL_LOANS_DUE_90_FFIEC" hidden="1">"c13297"</definedName>
    <definedName name="IQ_COMMERCIAL_INDUSTRIAL_LOANS_LL_REC_DOM_FFIEC" hidden="1">"c12910"</definedName>
    <definedName name="IQ_COMMERCIAL_INDUSTRIAL_LOANS_NET_FDIC" hidden="1">"c6317"</definedName>
    <definedName name="IQ_COMMERCIAL_INDUSTRIAL_LOANS_NON_ACCRUAL_FFIEC" hidden="1">"c13323"</definedName>
    <definedName name="IQ_COMMERCIAL_INDUSTRIAL_NET_CHARGE_OFFS_FDIC" hidden="1">"c6636"</definedName>
    <definedName name="IQ_COMMERCIAL_INDUSTRIAL_NON_US_CHARGE_OFFS_FFIEC" hidden="1">"c13179"</definedName>
    <definedName name="IQ_COMMERCIAL_INDUSTRIAL_NON_US_RECOV_FFIEC" hidden="1">"c13201"</definedName>
    <definedName name="IQ_COMMERCIAL_INDUSTRIAL_RECOVERIES_FDIC" hidden="1">"c6617"</definedName>
    <definedName name="IQ_COMMERCIAL_INDUSTRIAL_RISK_BASED_FFIEC" hidden="1">"c13431"</definedName>
    <definedName name="IQ_COMMERCIAL_INDUSTRIAL_TOTAL_LOANS_FOREIGN_FDIC" hidden="1">"c6451"</definedName>
    <definedName name="IQ_COMMERCIAL_INDUSTRIAL_TRADING_DOM_FFIEC" hidden="1">"c12932"</definedName>
    <definedName name="IQ_COMMERCIAL_INDUSTRIAL_US_CHARGE_OFFS_FFIEC" hidden="1">"c13178"</definedName>
    <definedName name="IQ_COMMERCIAL_INDUSTRIAL_US_RECOV_FFIEC" hidden="1">"c13200"</definedName>
    <definedName name="IQ_COMMERCIAL_MORT" hidden="1">"c179"</definedName>
    <definedName name="IQ_COMMERCIAL_OTHER_LOC_FFIEC" hidden="1">"c13253"</definedName>
    <definedName name="IQ_COMMERCIAL_PAPER_ASSETS_TOT_FFIEC" hidden="1">"c13449"</definedName>
    <definedName name="IQ_COMMERCIAL_PAPER_FFIEC" hidden="1">"c12863"</definedName>
    <definedName name="IQ_COMMERCIAL_RE_CONSTRUCTION_LAND_DEV_FDIC" hidden="1">"c6526"</definedName>
    <definedName name="IQ_COMMERCIAL_RE_GROSS_LOANS_FFIEC" hidden="1">"c13400"</definedName>
    <definedName name="IQ_COMMERCIAL_RE_LOANS_FDIC" hidden="1">"c6312"</definedName>
    <definedName name="IQ_COMMERCIAL_RE_RISK_BASED_FFIEC" hidden="1">"c13421"</definedName>
    <definedName name="IQ_COMMISS_FEES" hidden="1">"c180"</definedName>
    <definedName name="IQ_COMMISSION_DEF" hidden="1">"c181"</definedName>
    <definedName name="IQ_COMMITMENTS_BUY_SEC_OTHER_OFF_BS_FFIEC" hidden="1">"c13128"</definedName>
    <definedName name="IQ_COMMITMENTS_COMMERCIAL_RE_UNUSED_FFIEC" hidden="1">"c13243"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ITMENTS_SELL_SEC_OTHER_OFF_BS_FFIEC" hidden="1">"c13129"</definedName>
    <definedName name="IQ_COMMODITY_EXPOSURE_FFIEC" hidden="1">"c13061"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"c13596"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MON_STOCK_FFIEC" hidden="1">"c12876"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MPETITOR_ALL" hidden="1">"c13754"</definedName>
    <definedName name="IQ_COMPETITOR_NAMED_BY_COMPANY" hidden="1">"c13751"</definedName>
    <definedName name="IQ_COMPETITOR_NAMED_BY_COMPETITOR" hidden="1">"c13752"</definedName>
    <definedName name="IQ_COMPETITOR_NAMED_BY_THIRDPARTY" hidden="1">"c13753"</definedName>
    <definedName name="IQ_COMPOSITE_CYCLICAL_IND" hidden="1">"c6830"</definedName>
    <definedName name="IQ_COMPOSITE_CYCLICAL_IND_APR" hidden="1">"c7490"</definedName>
    <definedName name="IQ_COMPOSITE_CYCLICAL_IND_APR_FC" hidden="1">"c8370"</definedName>
    <definedName name="IQ_COMPOSITE_CYCLICAL_IND_FC" hidden="1">"c7710"</definedName>
    <definedName name="IQ_COMPOSITE_CYCLICAL_IND_POP" hidden="1">"c7050"</definedName>
    <definedName name="IQ_COMPOSITE_CYCLICAL_IND_POP_FC" hidden="1">"c7930"</definedName>
    <definedName name="IQ_COMPOSITE_CYCLICAL_IND_YOY" hidden="1">"c7270"</definedName>
    <definedName name="IQ_COMPOSITE_CYCLICAL_IND_YOY_FC" hidden="1">"c8150"</definedName>
    <definedName name="IQ_CONSOL_BEDS" hidden="1">"c8782"</definedName>
    <definedName name="IQ_CONSOL_PROP_OPERATIONAL" hidden="1">"c8758"</definedName>
    <definedName name="IQ_CONSOL_PROP_OTHER_OWNED" hidden="1">"c8760"</definedName>
    <definedName name="IQ_CONSOL_PROP_TOTAL" hidden="1">"c8761"</definedName>
    <definedName name="IQ_CONSOL_PROP_UNDEVELOPED" hidden="1">"c8759"</definedName>
    <definedName name="IQ_CONSOL_ROOMS" hidden="1">"c8786"</definedName>
    <definedName name="IQ_CONSOL_SQ_FT_OPERATIONAL" hidden="1">"c8774"</definedName>
    <definedName name="IQ_CONSOL_SQ_FT_OTHER_OWNED" hidden="1">"c8776"</definedName>
    <definedName name="IQ_CONSOL_SQ_FT_TOTAL" hidden="1">"c8777"</definedName>
    <definedName name="IQ_CONSOL_SQ_FT_UNDEVELOPED" hidden="1">"c8775"</definedName>
    <definedName name="IQ_CONSOL_UNITS_OPERATIONAL" hidden="1">"c8766"</definedName>
    <definedName name="IQ_CONSOL_UNITS_OTHER_OWNED" hidden="1">"c8768"</definedName>
    <definedName name="IQ_CONSOL_UNITS_TOTAL" hidden="1">"c8769"</definedName>
    <definedName name="IQ_CONSOL_UNITS_UNDEVELOPED" hidden="1">"c8767"</definedName>
    <definedName name="IQ_CONSOLIDATED_ASSETS_QUARTERLY_AVG_FFIEC" hidden="1">"c13087"</definedName>
    <definedName name="IQ_CONST_LAND_DEV_LOANS_TOT_LOANS_FFIEC" hidden="1">"c13865"</definedName>
    <definedName name="IQ_CONST_LAND_DEVELOP_OTHER_DOM_CHARGE_OFFS_FFIEC" hidden="1">"c13628"</definedName>
    <definedName name="IQ_CONST_LAND_DEVELOP_OTHER_DOM_RECOV_FFIEC" hidden="1">"c13632"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L_REC_DOM_FFIEC" hidden="1">"c12900"</definedName>
    <definedName name="IQ_CONSTRUCTION_LOANS" hidden="1">"c222"</definedName>
    <definedName name="IQ_CONSTRUCTION_LOANS_DOM_DUE_30_89_FFIEC" hidden="1">"c13256"</definedName>
    <definedName name="IQ_CONSTRUCTION_LOANS_DOM_DUE_90_FFIEC" hidden="1">"c13284"</definedName>
    <definedName name="IQ_CONSTRUCTION_LOANS_DOM_NON_ACCRUAL_FFIEC" hidden="1">"c13310"</definedName>
    <definedName name="IQ_CONSTRUCTION_LOANS_GROSS_LOANS_FFIEC" hidden="1">"c13401"</definedName>
    <definedName name="IQ_CONSTRUCTION_RISK_BASED_FFIEC" hidden="1">"c13422"</definedName>
    <definedName name="IQ_CONSULTING_FFIEC" hidden="1">"c13055"</definedName>
    <definedName name="IQ_CONSUMER_COMFORT" hidden="1">"c6831"</definedName>
    <definedName name="IQ_CONSUMER_COMFORT_APR" hidden="1">"c7491"</definedName>
    <definedName name="IQ_CONSUMER_COMFORT_APR_FC" hidden="1">"c8371"</definedName>
    <definedName name="IQ_CONSUMER_COMFORT_FC" hidden="1">"c7711"</definedName>
    <definedName name="IQ_CONSUMER_COMFORT_POP" hidden="1">"c7051"</definedName>
    <definedName name="IQ_CONSUMER_COMFORT_POP_FC" hidden="1">"c7931"</definedName>
    <definedName name="IQ_CONSUMER_CONFIDENCE" hidden="1">"c6832"</definedName>
    <definedName name="IQ_CONSUMER_CONFIDENCE_APR" hidden="1">"c7492"</definedName>
    <definedName name="IQ_CONSUMER_CONFIDENCE_APR_FC" hidden="1">"c8372"</definedName>
    <definedName name="IQ_CONSUMER_CONFIDENCE_FC" hidden="1">"c7712"</definedName>
    <definedName name="IQ_CONSUMER_CONFIDENCE_POP" hidden="1">"c7052"</definedName>
    <definedName name="IQ_CONSUMER_CONFIDENCE_POP_FC" hidden="1">"c7932"</definedName>
    <definedName name="IQ_CONSUMER_CONFIDENCE_YOY" hidden="1">"c7272"</definedName>
    <definedName name="IQ_CONSUMER_CONFIDENCE_YOY_FC" hidden="1">"c8152"</definedName>
    <definedName name="IQ_CONSUMER_LEASES_LL_REC_FFIEC" hidden="1">"c12895"</definedName>
    <definedName name="IQ_CONSUMER_LENDING" hidden="1">"c6833"</definedName>
    <definedName name="IQ_CONSUMER_LENDING_APR" hidden="1">"c7493"</definedName>
    <definedName name="IQ_CONSUMER_LENDING_APR_FC" hidden="1">"c8373"</definedName>
    <definedName name="IQ_CONSUMER_LENDING_FC" hidden="1">"c7713"</definedName>
    <definedName name="IQ_CONSUMER_LENDING_GROSS" hidden="1">"c6878"</definedName>
    <definedName name="IQ_CONSUMER_LENDING_GROSS_APR" hidden="1">"c7538"</definedName>
    <definedName name="IQ_CONSUMER_LENDING_GROSS_APR_FC" hidden="1">"c8418"</definedName>
    <definedName name="IQ_CONSUMER_LENDING_GROSS_FC" hidden="1">"c7758"</definedName>
    <definedName name="IQ_CONSUMER_LENDING_GROSS_POP" hidden="1">"c7098"</definedName>
    <definedName name="IQ_CONSUMER_LENDING_GROSS_POP_FC" hidden="1">"c7978"</definedName>
    <definedName name="IQ_CONSUMER_LENDING_GROSS_YOY" hidden="1">"c7318"</definedName>
    <definedName name="IQ_CONSUMER_LENDING_GROSS_YOY_FC" hidden="1">"c8198"</definedName>
    <definedName name="IQ_CONSUMER_LENDING_NET" hidden="1">"c6922"</definedName>
    <definedName name="IQ_CONSUMER_LENDING_NET_APR" hidden="1">"c7582"</definedName>
    <definedName name="IQ_CONSUMER_LENDING_NET_APR_FC" hidden="1">"c8462"</definedName>
    <definedName name="IQ_CONSUMER_LENDING_NET_FC" hidden="1">"c7802"</definedName>
    <definedName name="IQ_CONSUMER_LENDING_NET_POP" hidden="1">"c7142"</definedName>
    <definedName name="IQ_CONSUMER_LENDING_NET_POP_FC" hidden="1">"c8022"</definedName>
    <definedName name="IQ_CONSUMER_LENDING_NET_YOY" hidden="1">"c7362"</definedName>
    <definedName name="IQ_CONSUMER_LENDING_NET_YOY_FC" hidden="1">"c8242"</definedName>
    <definedName name="IQ_CONSUMER_LENDING_POP" hidden="1">"c7053"</definedName>
    <definedName name="IQ_CONSUMER_LENDING_POP_FC" hidden="1">"c7933"</definedName>
    <definedName name="IQ_CONSUMER_LENDING_TOTAL" hidden="1">"c7018"</definedName>
    <definedName name="IQ_CONSUMER_LENDING_TOTAL_APR" hidden="1">"c7678"</definedName>
    <definedName name="IQ_CONSUMER_LENDING_TOTAL_APR_FC" hidden="1">"c8558"</definedName>
    <definedName name="IQ_CONSUMER_LENDING_TOTAL_FC" hidden="1">"c7898"</definedName>
    <definedName name="IQ_CONSUMER_LENDING_TOTAL_POP" hidden="1">"c7238"</definedName>
    <definedName name="IQ_CONSUMER_LENDING_TOTAL_POP_FC" hidden="1">"c8118"</definedName>
    <definedName name="IQ_CONSUMER_LENDING_TOTAL_YOY" hidden="1">"c7458"</definedName>
    <definedName name="IQ_CONSUMER_LENDING_TOTAL_YOY_FC" hidden="1">"c8338"</definedName>
    <definedName name="IQ_CONSUMER_LENDING_YOY" hidden="1">"c7273"</definedName>
    <definedName name="IQ_CONSUMER_LENDING_YOY_FC" hidden="1">"c8153"</definedName>
    <definedName name="IQ_CONSUMER_LOANS" hidden="1">"c223"</definedName>
    <definedName name="IQ_CONSUMER_LOANS_LL_REC_DOM_FFIEC" hidden="1">"c12911"</definedName>
    <definedName name="IQ_CONSUMER_LOANS_TOT_LOANS_FFIEC" hidden="1">"c13875"</definedName>
    <definedName name="IQ_CONSUMER_SPENDING" hidden="1">"c6834"</definedName>
    <definedName name="IQ_CONSUMER_SPENDING_APR" hidden="1">"c7494"</definedName>
    <definedName name="IQ_CONSUMER_SPENDING_APR_FC" hidden="1">"c8374"</definedName>
    <definedName name="IQ_CONSUMER_SPENDING_DURABLE" hidden="1">"c6835"</definedName>
    <definedName name="IQ_CONSUMER_SPENDING_DURABLE_APR" hidden="1">"c7495"</definedName>
    <definedName name="IQ_CONSUMER_SPENDING_DURABLE_APR_FC" hidden="1">"c8375"</definedName>
    <definedName name="IQ_CONSUMER_SPENDING_DURABLE_FC" hidden="1">"c7715"</definedName>
    <definedName name="IQ_CONSUMER_SPENDING_DURABLE_POP" hidden="1">"c7055"</definedName>
    <definedName name="IQ_CONSUMER_SPENDING_DURABLE_POP_FC" hidden="1">"c7935"</definedName>
    <definedName name="IQ_CONSUMER_SPENDING_DURABLE_REAL" hidden="1">"c6964"</definedName>
    <definedName name="IQ_CONSUMER_SPENDING_DURABLE_REAL_APR" hidden="1">"c7624"</definedName>
    <definedName name="IQ_CONSUMER_SPENDING_DURABLE_REAL_APR_FC" hidden="1">"c8504"</definedName>
    <definedName name="IQ_CONSUMER_SPENDING_DURABLE_REAL_FC" hidden="1">"c7844"</definedName>
    <definedName name="IQ_CONSUMER_SPENDING_DURABLE_REAL_POP" hidden="1">"c7184"</definedName>
    <definedName name="IQ_CONSUMER_SPENDING_DURABLE_REAL_POP_FC" hidden="1">"c8064"</definedName>
    <definedName name="IQ_CONSUMER_SPENDING_DURABLE_REAL_SAAR" hidden="1">"c6965"</definedName>
    <definedName name="IQ_CONSUMER_SPENDING_DURABLE_REAL_SAAR_APR" hidden="1">"c7625"</definedName>
    <definedName name="IQ_CONSUMER_SPENDING_DURABLE_REAL_SAAR_APR_FC" hidden="1">"c8505"</definedName>
    <definedName name="IQ_CONSUMER_SPENDING_DURABLE_REAL_SAAR_FC" hidden="1">"c7845"</definedName>
    <definedName name="IQ_CONSUMER_SPENDING_DURABLE_REAL_SAAR_POP" hidden="1">"c7185"</definedName>
    <definedName name="IQ_CONSUMER_SPENDING_DURABLE_REAL_SAAR_POP_FC" hidden="1">"c8065"</definedName>
    <definedName name="IQ_CONSUMER_SPENDING_DURABLE_REAL_SAAR_YOY" hidden="1">"c7405"</definedName>
    <definedName name="IQ_CONSUMER_SPENDING_DURABLE_REAL_SAAR_YOY_FC" hidden="1">"c8285"</definedName>
    <definedName name="IQ_CONSUMER_SPENDING_DURABLE_REAL_YOY" hidden="1">"c7404"</definedName>
    <definedName name="IQ_CONSUMER_SPENDING_DURABLE_REAL_YOY_FC" hidden="1">"c8284"</definedName>
    <definedName name="IQ_CONSUMER_SPENDING_DURABLE_YOY" hidden="1">"c7275"</definedName>
    <definedName name="IQ_CONSUMER_SPENDING_DURABLE_YOY_FC" hidden="1">"c8155"</definedName>
    <definedName name="IQ_CONSUMER_SPENDING_FC" hidden="1">"c7714"</definedName>
    <definedName name="IQ_CONSUMER_SPENDING_NONDURABLE" hidden="1">"c6836"</definedName>
    <definedName name="IQ_CONSUMER_SPENDING_NONDURABLE_APR" hidden="1">"c7496"</definedName>
    <definedName name="IQ_CONSUMER_SPENDING_NONDURABLE_APR_FC" hidden="1">"c8376"</definedName>
    <definedName name="IQ_CONSUMER_SPENDING_NONDURABLE_FC" hidden="1">"c7716"</definedName>
    <definedName name="IQ_CONSUMER_SPENDING_NONDURABLE_POP" hidden="1">"c7056"</definedName>
    <definedName name="IQ_CONSUMER_SPENDING_NONDURABLE_POP_FC" hidden="1">"c7936"</definedName>
    <definedName name="IQ_CONSUMER_SPENDING_NONDURABLE_REAL" hidden="1">"c6966"</definedName>
    <definedName name="IQ_CONSUMER_SPENDING_NONDURABLE_REAL_APR" hidden="1">"c7626"</definedName>
    <definedName name="IQ_CONSUMER_SPENDING_NONDURABLE_REAL_APR_FC" hidden="1">"c8506"</definedName>
    <definedName name="IQ_CONSUMER_SPENDING_NONDURABLE_REAL_FC" hidden="1">"c7846"</definedName>
    <definedName name="IQ_CONSUMER_SPENDING_NONDURABLE_REAL_POP" hidden="1">"c7186"</definedName>
    <definedName name="IQ_CONSUMER_SPENDING_NONDURABLE_REAL_POP_FC" hidden="1">"c8066"</definedName>
    <definedName name="IQ_CONSUMER_SPENDING_NONDURABLE_REAL_SAAR" hidden="1">"c6967"</definedName>
    <definedName name="IQ_CONSUMER_SPENDING_NONDURABLE_REAL_SAAR_APR" hidden="1">"c7627"</definedName>
    <definedName name="IQ_CONSUMER_SPENDING_NONDURABLE_REAL_SAAR_APR_FC" hidden="1">"c8507"</definedName>
    <definedName name="IQ_CONSUMER_SPENDING_NONDURABLE_REAL_SAAR_FC" hidden="1">"c7847"</definedName>
    <definedName name="IQ_CONSUMER_SPENDING_NONDURABLE_REAL_SAAR_POP" hidden="1">"c7187"</definedName>
    <definedName name="IQ_CONSUMER_SPENDING_NONDURABLE_REAL_SAAR_POP_FC" hidden="1">"c8067"</definedName>
    <definedName name="IQ_CONSUMER_SPENDING_NONDURABLE_REAL_SAAR_YOY" hidden="1">"c7407"</definedName>
    <definedName name="IQ_CONSUMER_SPENDING_NONDURABLE_REAL_SAAR_YOY_FC" hidden="1">"c8287"</definedName>
    <definedName name="IQ_CONSUMER_SPENDING_NONDURABLE_REAL_YOY" hidden="1">"c7406"</definedName>
    <definedName name="IQ_CONSUMER_SPENDING_NONDURABLE_REAL_YOY_FC" hidden="1">"c8286"</definedName>
    <definedName name="IQ_CONSUMER_SPENDING_NONDURABLE_YOY" hidden="1">"c7276"</definedName>
    <definedName name="IQ_CONSUMER_SPENDING_NONDURABLE_YOY_FC" hidden="1">"c8156"</definedName>
    <definedName name="IQ_CONSUMER_SPENDING_POP" hidden="1">"c7054"</definedName>
    <definedName name="IQ_CONSUMER_SPENDING_POP_FC" hidden="1">"c7934"</definedName>
    <definedName name="IQ_CONSUMER_SPENDING_REAL" hidden="1">"c6963"</definedName>
    <definedName name="IQ_CONSUMER_SPENDING_REAL_APR" hidden="1">"c7623"</definedName>
    <definedName name="IQ_CONSUMER_SPENDING_REAL_APR_FC" hidden="1">"c8503"</definedName>
    <definedName name="IQ_CONSUMER_SPENDING_REAL_FC" hidden="1">"c7843"</definedName>
    <definedName name="IQ_CONSUMER_SPENDING_REAL_POP" hidden="1">"c7183"</definedName>
    <definedName name="IQ_CONSUMER_SPENDING_REAL_POP_FC" hidden="1">"c8063"</definedName>
    <definedName name="IQ_CONSUMER_SPENDING_REAL_SAAR" hidden="1">"c6968"</definedName>
    <definedName name="IQ_CONSUMER_SPENDING_REAL_SAAR_APR" hidden="1">"c7628"</definedName>
    <definedName name="IQ_CONSUMER_SPENDING_REAL_SAAR_APR_FC" hidden="1">"c8508"</definedName>
    <definedName name="IQ_CONSUMER_SPENDING_REAL_SAAR_FC" hidden="1">"c7848"</definedName>
    <definedName name="IQ_CONSUMER_SPENDING_REAL_SAAR_POP" hidden="1">"c7188"</definedName>
    <definedName name="IQ_CONSUMER_SPENDING_REAL_SAAR_POP_FC" hidden="1">"c8068"</definedName>
    <definedName name="IQ_CONSUMER_SPENDING_REAL_SAAR_YOY" hidden="1">"c7408"</definedName>
    <definedName name="IQ_CONSUMER_SPENDING_REAL_SAAR_YOY_FC" hidden="1">"c8288"</definedName>
    <definedName name="IQ_CONSUMER_SPENDING_REAL_USD_APR_FC" hidden="1">"c11921"</definedName>
    <definedName name="IQ_CONSUMER_SPENDING_REAL_USD_FC" hidden="1">"c11918"</definedName>
    <definedName name="IQ_CONSUMER_SPENDING_REAL_USD_POP_FC" hidden="1">"c11919"</definedName>
    <definedName name="IQ_CONSUMER_SPENDING_REAL_USD_YOY_FC" hidden="1">"c11920"</definedName>
    <definedName name="IQ_CONSUMER_SPENDING_REAL_YOY" hidden="1">"c7403"</definedName>
    <definedName name="IQ_CONSUMER_SPENDING_REAL_YOY_FC" hidden="1">"c8283"</definedName>
    <definedName name="IQ_CONSUMER_SPENDING_SERVICES" hidden="1">"c6837"</definedName>
    <definedName name="IQ_CONSUMER_SPENDING_SERVICES_APR" hidden="1">"c7497"</definedName>
    <definedName name="IQ_CONSUMER_SPENDING_SERVICES_APR_FC" hidden="1">"c8377"</definedName>
    <definedName name="IQ_CONSUMER_SPENDING_SERVICES_FC" hidden="1">"c7717"</definedName>
    <definedName name="IQ_CONSUMER_SPENDING_SERVICES_POP" hidden="1">"c7057"</definedName>
    <definedName name="IQ_CONSUMER_SPENDING_SERVICES_POP_FC" hidden="1">"c7937"</definedName>
    <definedName name="IQ_CONSUMER_SPENDING_SERVICES_REAL" hidden="1">"c6969"</definedName>
    <definedName name="IQ_CONSUMER_SPENDING_SERVICES_REAL_APR" hidden="1">"c7629"</definedName>
    <definedName name="IQ_CONSUMER_SPENDING_SERVICES_REAL_APR_FC" hidden="1">"c8509"</definedName>
    <definedName name="IQ_CONSUMER_SPENDING_SERVICES_REAL_FC" hidden="1">"c7849"</definedName>
    <definedName name="IQ_CONSUMER_SPENDING_SERVICES_REAL_POP" hidden="1">"c7189"</definedName>
    <definedName name="IQ_CONSUMER_SPENDING_SERVICES_REAL_POP_FC" hidden="1">"c8069"</definedName>
    <definedName name="IQ_CONSUMER_SPENDING_SERVICES_REAL_SAAR" hidden="1">"c6970"</definedName>
    <definedName name="IQ_CONSUMER_SPENDING_SERVICES_REAL_SAAR_APR" hidden="1">"c7630"</definedName>
    <definedName name="IQ_CONSUMER_SPENDING_SERVICES_REAL_SAAR_APR_FC" hidden="1">"c8510"</definedName>
    <definedName name="IQ_CONSUMER_SPENDING_SERVICES_REAL_SAAR_FC" hidden="1">"c7850"</definedName>
    <definedName name="IQ_CONSUMER_SPENDING_SERVICES_REAL_SAAR_POP" hidden="1">"c7190"</definedName>
    <definedName name="IQ_CONSUMER_SPENDING_SERVICES_REAL_SAAR_POP_FC" hidden="1">"c8070"</definedName>
    <definedName name="IQ_CONSUMER_SPENDING_SERVICES_REAL_SAAR_YOY" hidden="1">"c7410"</definedName>
    <definedName name="IQ_CONSUMER_SPENDING_SERVICES_REAL_SAAR_YOY_FC" hidden="1">"c8290"</definedName>
    <definedName name="IQ_CONSUMER_SPENDING_SERVICES_REAL_YOY" hidden="1">"c7409"</definedName>
    <definedName name="IQ_CONSUMER_SPENDING_SERVICES_REAL_YOY_FC" hidden="1">"c8289"</definedName>
    <definedName name="IQ_CONSUMER_SPENDING_SERVICES_YOY" hidden="1">"c7277"</definedName>
    <definedName name="IQ_CONSUMER_SPENDING_SERVICES_YOY_FC" hidden="1">"c8157"</definedName>
    <definedName name="IQ_CONSUMER_SPENDING_YOY" hidden="1">"c7274"</definedName>
    <definedName name="IQ_CONSUMER_SPENDING_YOY_FC" hidden="1">"c8154"</definedName>
    <definedName name="IQ_CONTRACTS_OTHER_COMMODITIES_EQUITIES_FDIC" hidden="1">"c6522"</definedName>
    <definedName name="IQ_CONTRIB_ID_DET_EST" hidden="1">"c12045"</definedName>
    <definedName name="IQ_CONTRIB_ID_DET_EST_THOM" hidden="1">"c12073"</definedName>
    <definedName name="IQ_CONTRIB_ID_NON_PER_DET_EST" hidden="1">"c13824"</definedName>
    <definedName name="IQ_CONTRIB_ID_NON_PER_DET_EST_THOM" hidden="1">"c13826"</definedName>
    <definedName name="IQ_CONTRIB_NAME_DET_EST" hidden="1">"c12046"</definedName>
    <definedName name="IQ_CONTRIB_NAME_DET_EST_THOM" hidden="1">"c12074"</definedName>
    <definedName name="IQ_CONTRIB_NAME_NON_PER_DET_EST" hidden="1">"c12760"</definedName>
    <definedName name="IQ_CONTRIB_NAME_NON_PER_DET_EST_THOM" hidden="1">"c12764"</definedName>
    <definedName name="IQ_CONTRIB_REC_DET_EST" hidden="1">"c12051"</definedName>
    <definedName name="IQ_CONTRIB_REC_DET_EST_DATE" hidden="1">"c12204"</definedName>
    <definedName name="IQ_CONTRIB_REC_DET_EST_DATE_THOM" hidden="1">"c12230"</definedName>
    <definedName name="IQ_CONTRIB_REC_DET_EST_ORIGIN" hidden="1">"c12577"</definedName>
    <definedName name="IQ_CONTRIB_REC_DET_EST_ORIGIN_THOM" hidden="1">"c12600"</definedName>
    <definedName name="IQ_CONTRIB_REC_DET_EST_THOM" hidden="1">"c12080"</definedName>
    <definedName name="IQ_CONTRIBUTOR_CIQID" hidden="1">"c13742"</definedName>
    <definedName name="IQ_CONTRIBUTOR_NAME" hidden="1">"c13735"</definedName>
    <definedName name="IQ_CONTRIBUTOR_START_DATE" hidden="1">"c13741"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SION_COMMON_FFIEC" hidden="1">"c12964"</definedName>
    <definedName name="IQ_CONVERSION_PREF_FFIEC" hidden="1">"c12962"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RE_DEPOSITS_ASSETS_TOT_FFIEC" hidden="1">"c13442"</definedName>
    <definedName name="IQ_CORE_DEPOSITS_FFIEC" hidden="1">"c13862"</definedName>
    <definedName name="IQ_CORE_DEPOSITS_TOT_DEPOSITS_FFIEC" hidden="1">"c13911"</definedName>
    <definedName name="IQ_CORP_GOODS_PRICE_INDEX_APR_FC_UNUSED" hidden="1">"c8381"</definedName>
    <definedName name="IQ_CORP_GOODS_PRICE_INDEX_APR_UNUSED" hidden="1">"c7501"</definedName>
    <definedName name="IQ_CORP_GOODS_PRICE_INDEX_FC_UNUSED" hidden="1">"c7721"</definedName>
    <definedName name="IQ_CORP_GOODS_PRICE_INDEX_POP_FC_UNUSED" hidden="1">"c7941"</definedName>
    <definedName name="IQ_CORP_GOODS_PRICE_INDEX_POP_UNUSED" hidden="1">"c7061"</definedName>
    <definedName name="IQ_CORP_GOODS_PRICE_INDEX_UNUSED" hidden="1">"c6841"</definedName>
    <definedName name="IQ_CORP_GOODS_PRICE_INDEX_YOY_FC_UNUSED" hidden="1">"c8161"</definedName>
    <definedName name="IQ_CORP_GOODS_PRICE_INDEX_YOY_UNUSED" hidden="1">"c7281"</definedName>
    <definedName name="IQ_CORP_PROFITS" hidden="1">"c6843"</definedName>
    <definedName name="IQ_CORP_PROFITS_AFTER_TAX_SAAR" hidden="1">"c6842"</definedName>
    <definedName name="IQ_CORP_PROFITS_AFTER_TAX_SAAR_APR" hidden="1">"c7502"</definedName>
    <definedName name="IQ_CORP_PROFITS_AFTER_TAX_SAAR_APR_FC" hidden="1">"c8382"</definedName>
    <definedName name="IQ_CORP_PROFITS_AFTER_TAX_SAAR_FC" hidden="1">"c7722"</definedName>
    <definedName name="IQ_CORP_PROFITS_AFTER_TAX_SAAR_POP" hidden="1">"c7062"</definedName>
    <definedName name="IQ_CORP_PROFITS_AFTER_TAX_SAAR_POP_FC" hidden="1">"c7942"</definedName>
    <definedName name="IQ_CORP_PROFITS_AFTER_TAX_SAAR_YOY" hidden="1">"c7282"</definedName>
    <definedName name="IQ_CORP_PROFITS_AFTER_TAX_SAAR_YOY_FC" hidden="1">"c8162"</definedName>
    <definedName name="IQ_CORP_PROFITS_APR" hidden="1">"c7503"</definedName>
    <definedName name="IQ_CORP_PROFITS_APR_FC" hidden="1">"c8383"</definedName>
    <definedName name="IQ_CORP_PROFITS_FC" hidden="1">"c7723"</definedName>
    <definedName name="IQ_CORP_PROFITS_POP" hidden="1">"c7063"</definedName>
    <definedName name="IQ_CORP_PROFITS_POP_FC" hidden="1">"c7943"</definedName>
    <definedName name="IQ_CORP_PROFITS_SAAR" hidden="1">"c6844"</definedName>
    <definedName name="IQ_CORP_PROFITS_SAAR_APR" hidden="1">"c7504"</definedName>
    <definedName name="IQ_CORP_PROFITS_SAAR_APR_FC" hidden="1">"c8384"</definedName>
    <definedName name="IQ_CORP_PROFITS_SAAR_FC" hidden="1">"c7724"</definedName>
    <definedName name="IQ_CORP_PROFITS_SAAR_POP" hidden="1">"c7064"</definedName>
    <definedName name="IQ_CORP_PROFITS_SAAR_POP_FC" hidden="1">"c7944"</definedName>
    <definedName name="IQ_CORP_PROFITS_SAAR_YOY" hidden="1">"c7284"</definedName>
    <definedName name="IQ_CORP_PROFITS_SAAR_YOY_FC" hidden="1">"c8164"</definedName>
    <definedName name="IQ_CORP_PROFITS_YOY" hidden="1">"c7283"</definedName>
    <definedName name="IQ_CORP_PROFITS_YOY_FC" hidden="1">"c8163"</definedName>
    <definedName name="IQ_CORPORATE_OVER_TOTAL" hidden="1">"c13767"</definedName>
    <definedName name="IQ_COST_BORROWED_FUNDS_FFIEC" hidden="1">"c13492"</definedName>
    <definedName name="IQ_COST_BORROWING" hidden="1">"c2936"</definedName>
    <definedName name="IQ_COST_BORROWINGS" hidden="1">"c225"</definedName>
    <definedName name="IQ_COST_CAPITAL_NEW_BUSINESS" hidden="1">"c9968"</definedName>
    <definedName name="IQ_COST_FOREIGN_DEPOSITS_FFIEC" hidden="1">"c13490"</definedName>
    <definedName name="IQ_COST_FUNDS_PURCHASED_FFIEC" hidden="1">"c13491"</definedName>
    <definedName name="IQ_COST_INT_DEPOSITS_FFIEC" hidden="1">"c13489"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SOLVENCY_CAPITAL_COVERED" hidden="1">"c9965"</definedName>
    <definedName name="IQ_COST_SOLVENCY_CAPITAL_GROUP" hidden="1">"c9951"</definedName>
    <definedName name="IQ_COST_TOTAL_BORROWINGS" hidden="1">"c229"</definedName>
    <definedName name="IQ_COUNTRY_NAME" hidden="1">"c230"</definedName>
    <definedName name="IQ_COUNTRY_NAME_ECON" hidden="1">"c11752"</definedName>
    <definedName name="IQ_COUPON_FORMULA" hidden="1">"c8965"</definedName>
    <definedName name="IQ_COVERED_POPS" hidden="1">"c2124"</definedName>
    <definedName name="IQ_CP" hidden="1">"c2495"</definedName>
    <definedName name="IQ_CP_PCT" hidden="1">"c2496"</definedName>
    <definedName name="IQ_CPI" hidden="1">"c6845"</definedName>
    <definedName name="IQ_CPI_APR" hidden="1">"c7505"</definedName>
    <definedName name="IQ_CPI_APR_FC" hidden="1">"c8385"</definedName>
    <definedName name="IQ_CPI_CORE" hidden="1">"c6838"</definedName>
    <definedName name="IQ_CPI_CORE_APR" hidden="1">"c7498"</definedName>
    <definedName name="IQ_CPI_CORE_POP" hidden="1">"c7058"</definedName>
    <definedName name="IQ_CPI_CORE_YOY" hidden="1">"c7278"</definedName>
    <definedName name="IQ_CPI_FC" hidden="1">"c7725"</definedName>
    <definedName name="IQ_CPI_POP" hidden="1">"c7065"</definedName>
    <definedName name="IQ_CPI_POP_FC" hidden="1">"c7945"</definedName>
    <definedName name="IQ_CPI_YOY" hidden="1">"c7285"</definedName>
    <definedName name="IQ_CPI_YOY_FC" hidden="1">"c8165"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GROSS_LOANS_FFIEC" hidden="1">"c13412"</definedName>
    <definedName name="IQ_CREDIT_CARD_INTERCHANGE_FEES_FFIEC" hidden="1">"c13046"</definedName>
    <definedName name="IQ_CREDIT_CARD_LINES_FDIC" hidden="1">"c6525"</definedName>
    <definedName name="IQ_CREDIT_CARD_LINES_UNUSED_FFIEC" hidden="1">"c13242"</definedName>
    <definedName name="IQ_CREDIT_CARD_LOANS_CHARGE_OFFS_FFIEC" hidden="1">"c13180"</definedName>
    <definedName name="IQ_CREDIT_CARD_LOANS_DUE_30_89_FFIEC" hidden="1">"c13272"</definedName>
    <definedName name="IQ_CREDIT_CARD_LOANS_DUE_90_FFIEC" hidden="1">"c13298"</definedName>
    <definedName name="IQ_CREDIT_CARD_LOANS_FDIC" hidden="1">"c6319"</definedName>
    <definedName name="IQ_CREDIT_CARD_LOANS_NON_ACCRUAL_FFIEC" hidden="1">"c13324"</definedName>
    <definedName name="IQ_CREDIT_CARD_LOANS_RECOV_FFIEC" hidden="1">"c13202"</definedName>
    <definedName name="IQ_CREDIT_CARD_NET_CHARGE_OFFS_FDIC" hidden="1">"c6654"</definedName>
    <definedName name="IQ_CREDIT_CARD_RECOVERIES_FDIC" hidden="1">"c6653"</definedName>
    <definedName name="IQ_CREDIT_CARD_RISK_BASED_FFIEC" hidden="1">"c13433"</definedName>
    <definedName name="IQ_CREDIT_CARDS_CONSUMER_LOANS_FFIEC" hidden="1">"c12822"</definedName>
    <definedName name="IQ_CREDIT_CARDS_LL_REC_FFIEC" hidden="1">"c12889"</definedName>
    <definedName name="IQ_CREDIT_CARDS_LOANS_TRADING_DOM_FFIEC" hidden="1">"c12933"</definedName>
    <definedName name="IQ_CREDIT_EXPOSURE" hidden="1">"c10038"</definedName>
    <definedName name="IQ_CREDIT_EXPOSURE_FFIEC" hidden="1">"c13062"</definedName>
    <definedName name="IQ_CREDIT_LOSS_CF" hidden="1">"c232"</definedName>
    <definedName name="IQ_CREDIT_LOSS_PROVISION_NET_CHARGE_OFFS_FDIC" hidden="1">"c6734"</definedName>
    <definedName name="IQ_CREDIT_LOSSES_DERIVATIVES_FFIEC" hidden="1">"c13068"</definedName>
    <definedName name="IQ_CREDIT_OPTIONS_DERIVATIVES_BENEFICIARY_FFIEC" hidden="1">"c13121"</definedName>
    <definedName name="IQ_CREDIT_OPTIONS_DERIVATIVES_GUARANTOR_FFIEC" hidden="1">"c13114"</definedName>
    <definedName name="IQ_CUMULATIVE_PREFERREDS_T2_FFIEC" hidden="1">"c13145"</definedName>
    <definedName name="IQ_CUMULATIVE_SPLIT_FACTOR" hidden="1">"c2094"</definedName>
    <definedName name="IQ_CURR_ACCT_BALANCE_APR_FC_UNUSED" hidden="1">"c8387"</definedName>
    <definedName name="IQ_CURR_ACCT_BALANCE_APR_UNUSED" hidden="1">"c7507"</definedName>
    <definedName name="IQ_CURR_ACCT_BALANCE_FC_UNUSED" hidden="1">"c7727"</definedName>
    <definedName name="IQ_CURR_ACCT_BALANCE_PCT" hidden="1">"c6846"</definedName>
    <definedName name="IQ_CURR_ACCT_BALANCE_PCT_FC" hidden="1">"c7726"</definedName>
    <definedName name="IQ_CURR_ACCT_BALANCE_PCT_POP" hidden="1">"c7066"</definedName>
    <definedName name="IQ_CURR_ACCT_BALANCE_PCT_POP_FC" hidden="1">"c7946"</definedName>
    <definedName name="IQ_CURR_ACCT_BALANCE_PCT_YOY" hidden="1">"c7286"</definedName>
    <definedName name="IQ_CURR_ACCT_BALANCE_PCT_YOY_FC" hidden="1">"c8166"</definedName>
    <definedName name="IQ_CURR_ACCT_BALANCE_POP_FC_UNUSED" hidden="1">"c7947"</definedName>
    <definedName name="IQ_CURR_ACCT_BALANCE_POP_UNUSED" hidden="1">"c7067"</definedName>
    <definedName name="IQ_CURR_ACCT_BALANCE_SAAR" hidden="1">"c6848"</definedName>
    <definedName name="IQ_CURR_ACCT_BALANCE_SAAR_APR" hidden="1">"c7508"</definedName>
    <definedName name="IQ_CURR_ACCT_BALANCE_SAAR_APR_FC" hidden="1">"c8388"</definedName>
    <definedName name="IQ_CURR_ACCT_BALANCE_SAAR_FC" hidden="1">"c7728"</definedName>
    <definedName name="IQ_CURR_ACCT_BALANCE_SAAR_POP" hidden="1">"c7068"</definedName>
    <definedName name="IQ_CURR_ACCT_BALANCE_SAAR_POP_FC" hidden="1">"c7948"</definedName>
    <definedName name="IQ_CURR_ACCT_BALANCE_SAAR_USD_APR_FC" hidden="1">"c11797"</definedName>
    <definedName name="IQ_CURR_ACCT_BALANCE_SAAR_USD_FC" hidden="1">"c11794"</definedName>
    <definedName name="IQ_CURR_ACCT_BALANCE_SAAR_USD_POP_FC" hidden="1">"c11795"</definedName>
    <definedName name="IQ_CURR_ACCT_BALANCE_SAAR_USD_YOY_FC" hidden="1">"c11796"</definedName>
    <definedName name="IQ_CURR_ACCT_BALANCE_SAAR_YOY" hidden="1">"c7288"</definedName>
    <definedName name="IQ_CURR_ACCT_BALANCE_SAAR_YOY_FC" hidden="1">"c8168"</definedName>
    <definedName name="IQ_CURR_ACCT_BALANCE_UNUSED" hidden="1">"c6847"</definedName>
    <definedName name="IQ_CURR_ACCT_BALANCE_USD" hidden="1">"c11786"</definedName>
    <definedName name="IQ_CURR_ACCT_BALANCE_USD_APR" hidden="1">"c11789"</definedName>
    <definedName name="IQ_CURR_ACCT_BALANCE_USD_APR_FC" hidden="1">"c11793"</definedName>
    <definedName name="IQ_CURR_ACCT_BALANCE_USD_FC" hidden="1">"c11790"</definedName>
    <definedName name="IQ_CURR_ACCT_BALANCE_USD_POP" hidden="1">"c11787"</definedName>
    <definedName name="IQ_CURR_ACCT_BALANCE_USD_POP_FC" hidden="1">"c11791"</definedName>
    <definedName name="IQ_CURR_ACCT_BALANCE_USD_YOY" hidden="1">"c11788"</definedName>
    <definedName name="IQ_CURR_ACCT_BALANCE_USD_YOY_FC" hidden="1">"c11792"</definedName>
    <definedName name="IQ_CURR_ACCT_BALANCE_YOY_FC_UNUSED" hidden="1">"c8167"</definedName>
    <definedName name="IQ_CURR_ACCT_BALANCE_YOY_UNUSED" hidden="1">"c7287"</definedName>
    <definedName name="IQ_CURR_ACCT_INC_RECEIPTS" hidden="1">"c6849"</definedName>
    <definedName name="IQ_CURR_ACCT_INC_RECEIPTS_APR" hidden="1">"c7509"</definedName>
    <definedName name="IQ_CURR_ACCT_INC_RECEIPTS_APR_FC" hidden="1">"c8389"</definedName>
    <definedName name="IQ_CURR_ACCT_INC_RECEIPTS_FC" hidden="1">"c7729"</definedName>
    <definedName name="IQ_CURR_ACCT_INC_RECEIPTS_POP" hidden="1">"c7069"</definedName>
    <definedName name="IQ_CURR_ACCT_INC_RECEIPTS_POP_FC" hidden="1">"c7949"</definedName>
    <definedName name="IQ_CURR_ACCT_INC_RECEIPTS_YOY" hidden="1">"c7289"</definedName>
    <definedName name="IQ_CURR_ACCT_INC_RECEIPTS_YOY_FC" hidden="1">"c8169"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USTOMER_LIAB_ACCEPTANCES_OUT_FFIEC" hidden="1">"c12835"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A_PROCESSING_EXP_FFIEC" hidden="1">"c13047"</definedName>
    <definedName name="IQ_DATED_DATE" hidden="1">"c2185"</definedName>
    <definedName name="IQ_DAY_COUNT" hidden="1">"c2161"</definedName>
    <definedName name="IQ_DAYS_COVER_SHORT" hidden="1">"c1578"</definedName>
    <definedName name="IQ_DAYS_DELAY" hidden="1">"c8963"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1_5_INVEST_SECURITIES_FFIEC" hidden="1">"c13465"</definedName>
    <definedName name="IQ_DEBT_ADJ" hidden="1">"c2515"</definedName>
    <definedName name="IQ_DEBT_ADJ_PCT" hidden="1">"c2516"</definedName>
    <definedName name="IQ_DEBT_EQUITY_EST" hidden="1">"c4257"</definedName>
    <definedName name="IQ_DEBT_EQUITY_HIGH_EST" hidden="1">"c4258"</definedName>
    <definedName name="IQ_DEBT_EQUITY_LOW_EST" hidden="1">"c4259"</definedName>
    <definedName name="IQ_DEBT_EQUITY_MEDIAN_EST" hidden="1">"c4260"</definedName>
    <definedName name="IQ_DEBT_EQUITY_NUM_EST" hidden="1">"c4261"</definedName>
    <definedName name="IQ_DEBT_EQUITY_STDDEV_EST" hidden="1">"c4262"</definedName>
    <definedName name="IQ_DEBT_EQUIV_NET_PBO" hidden="1">"c2938"</definedName>
    <definedName name="IQ_DEBT_EQUIV_OPER_LEASE" hidden="1">"c2935"</definedName>
    <definedName name="IQ_DEBT_LESS_1YR_INVEST_SECURITIES_FFIEC" hidden="1">"c13464"</definedName>
    <definedName name="IQ_DEBT_MATURING_MORE_THAN_ONE_YEAR_FFIEC" hidden="1">"c13164"</definedName>
    <definedName name="IQ_DEBT_MATURING_WITHIN_ONE_YEAR_FFIEC" hidden="1">"c13163"</definedName>
    <definedName name="IQ_DEBT_SEC_OVER_5YR_INVEST_SECURITIES_FFIEC" hidden="1">"c13466"</definedName>
    <definedName name="IQ_DEBT_SECURITIES_FOREIGN_FFIEC" hidden="1">"c13484"</definedName>
    <definedName name="IQ_DEBT_SECURITIES_OTHER_ASSETS_DUE_30_89_FFIEC" hidden="1">"c13279"</definedName>
    <definedName name="IQ_DEBT_SECURITIES_OTHER_ASSETS_DUE_90_FFIEC" hidden="1">"c13305"</definedName>
    <definedName name="IQ_DEBT_SECURITIES_OTHER_ASSETS_NON_ACCRUAL_FFIEC" hidden="1">"c13331"</definedName>
    <definedName name="IQ_DECREASE_INT_EXPENSE_FFIEC" hidden="1">"c13064"</definedName>
    <definedName name="IQ_DEDUCTIONS_TOTAL_RISK_BASED_CAPITAL_FFIEC" hidden="1">"c13152"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SPENDING_REAL_SAAR" hidden="1">"c6971"</definedName>
    <definedName name="IQ_DEF_SPENDING_REAL_SAAR_APR" hidden="1">"c7631"</definedName>
    <definedName name="IQ_DEF_SPENDING_REAL_SAAR_APR_FC" hidden="1">"c8511"</definedName>
    <definedName name="IQ_DEF_SPENDING_REAL_SAAR_FC" hidden="1">"c7851"</definedName>
    <definedName name="IQ_DEF_SPENDING_REAL_SAAR_POP" hidden="1">"c7191"</definedName>
    <definedName name="IQ_DEF_SPENDING_REAL_SAAR_POP_FC" hidden="1">"c8071"</definedName>
    <definedName name="IQ_DEF_SPENDING_REAL_SAAR_YOY" hidden="1">"c7411"</definedName>
    <definedName name="IQ_DEF_SPENDING_REAL_SAAR_YOY_FC" hidden="1">"c8291"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_ASSETS_FFIEC" hidden="1">"c12843"</definedName>
    <definedName name="IQ_DEFERRED_TAX_ASSETS_T1_FFIEC" hidden="1">"c13141"</definedName>
    <definedName name="IQ_DEFERRED_TAX_LIAB_FFIEC" hidden="1">"c12870"</definedName>
    <definedName name="IQ_DEFERRED_TAXES" hidden="1">"c1356"</definedName>
    <definedName name="IQ_DEMAND_DEP" hidden="1">"c320"</definedName>
    <definedName name="IQ_DEMAND_DEPOSITS_COMMERCIAL_BANK_SUBS_FFIEC" hidden="1">"c12945"</definedName>
    <definedName name="IQ_DEMAND_DEPOSITS_FDIC" hidden="1">"c6489"</definedName>
    <definedName name="IQ_DEMAND_DEPOSITS_TOT_DEPOSITS_FFIEC" hidden="1">"c13902"</definedName>
    <definedName name="IQ_DEPOSIT_ACCOUNTS_LESS_THAN_100K_FDIC" hidden="1">"c6494"</definedName>
    <definedName name="IQ_DEPOSIT_ACCOUNTS_MORE_THAN_100K_FDIC" hidden="1">"c6492"</definedName>
    <definedName name="IQ_DEPOSITORY_INST_ACCEPTANCES_LL_REC_DOM_FFIEC" hidden="1">"c12908"</definedName>
    <definedName name="IQ_DEPOSITORY_INST_GROSS_LOANS_FFIEC" hidden="1">"c13409"</definedName>
    <definedName name="IQ_DEPOSITORY_INST_RISK_BASED_FFIEC" hidden="1">"c13430"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100K_MORE_ASSETS_TOT_FFIEC" hidden="1">"c13444"</definedName>
    <definedName name="IQ_DEPOSITS_DOM_FFIEC" hidden="1">"c12850"</definedName>
    <definedName name="IQ_DEPOSITS_FAIR_VALUE_TOT_FFIEC" hidden="1">"c13213"</definedName>
    <definedName name="IQ_DEPOSITS_FIN" hidden="1">"c321"</definedName>
    <definedName name="IQ_DEPOSITS_FOREIGN_FFIEC" hidden="1">"c12853"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100K_COMMERCIAL_BANK_SUBS_FFIEC" hidden="1">"c12948"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LEVEL_1_FFIEC" hidden="1">"c13221"</definedName>
    <definedName name="IQ_DEPOSITS_LEVEL_2_FFIEC" hidden="1">"c13229"</definedName>
    <definedName name="IQ_DEPOSITS_LEVEL_3_FFIEC" hidden="1">"c13237"</definedName>
    <definedName name="IQ_DEPOSITS_MORE_100K_COMMERCIAL_BANK_SUBS_FFIEC" hidden="1">"c12949"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RIVATIVES_NEGATIVE_FAIR_VALUE_DOM_FFIEC" hidden="1">"c12943"</definedName>
    <definedName name="IQ_DERIVATIVES_NEGATIVE_VALUE_FFIEC" hidden="1">"c12861"</definedName>
    <definedName name="IQ_DERIVATIVES_POS_FAIR_VALUE_FFIEC" hidden="1">"c12827"</definedName>
    <definedName name="IQ_DERIVATIVES_POSITIVE_FAIR_VALUE_TRADING_DOM_FFIEC" hidden="1">"c12938"</definedName>
    <definedName name="IQ_DESCRIPTION_LONG" hidden="1">"c1520"</definedName>
    <definedName name="IQ_DEVELOP_LAND" hidden="1">"c323"</definedName>
    <definedName name="IQ_DIC" hidden="1">"c13834"</definedName>
    <definedName name="IQ_DIFF_LASTCLOSE_TARGET_PRICE" hidden="1">"c1854"</definedName>
    <definedName name="IQ_DIFF_LASTCLOSE_TARGET_PRICE_CIQ" hidden="1">"c4767"</definedName>
    <definedName name="IQ_DIFF_LASTCLOSE_TARGET_PRICE_THOM" hidden="1">"c5278"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OUTSTANDING_CURRENT_EST" hidden="1">"c4263"</definedName>
    <definedName name="IQ_DILUT_OUTSTANDING_CURRENT_HIGH_EST" hidden="1">"c4264"</definedName>
    <definedName name="IQ_DILUT_OUTSTANDING_CURRENT_LOW_EST" hidden="1">"c4265"</definedName>
    <definedName name="IQ_DILUT_OUTSTANDING_CURRENT_MEDIAN_EST" hidden="1">"c4266"</definedName>
    <definedName name="IQ_DILUT_OUTSTANDING_CURRENT_NUM_EST" hidden="1">"c4267"</definedName>
    <definedName name="IQ_DILUT_OUTSTANDING_CURRENT_STDDEV_EST" hidden="1">"c4268"</definedName>
    <definedName name="IQ_DILUT_WEIGHT" hidden="1">"c326"</definedName>
    <definedName name="IQ_DILUT_WEIGHT_EST" hidden="1">"c4269"</definedName>
    <definedName name="IQ_DILUT_WEIGHT_HIGH_EST" hidden="1">"c4271"</definedName>
    <definedName name="IQ_DILUT_WEIGHT_LOW_EST" hidden="1">"c4272"</definedName>
    <definedName name="IQ_DILUT_WEIGHT_MEDIAN_EST" hidden="1">"c4273"</definedName>
    <definedName name="IQ_DILUT_WEIGHT_NUM_EST" hidden="1">"c4274"</definedName>
    <definedName name="IQ_DILUT_WEIGHT_STDDEV_EST" hidden="1">"c4275"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RECTORS_FEES_FFIEC" hidden="1">"c13049"</definedName>
    <definedName name="IQ_DISALLOWED_DEFERRED_TAX_ASSETS_FFIEC" hidden="1">"c13157"</definedName>
    <definedName name="IQ_DISALLOWED_GOODWILL_INTANGIBLE_ASSETS_FFIEC" hidden="1">"c13155"</definedName>
    <definedName name="IQ_DISALLOWED_GOODWILL_INTANGIBLES_T1_FFIEC" hidden="1">"c13137"</definedName>
    <definedName name="IQ_DISALLOWED_SERVICING_ASSETS_FFIEC" hidden="1">"c13156"</definedName>
    <definedName name="IQ_DISALLOWED_SERVICING_ASSETS_T1_FFIEC" hidden="1">"c13140"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POSABLE_PERSONAL_INC" hidden="1">"c6850"</definedName>
    <definedName name="IQ_DISPOSABLE_PERSONAL_INC_APR" hidden="1">"c7510"</definedName>
    <definedName name="IQ_DISPOSABLE_PERSONAL_INC_APR_FC" hidden="1">"c8390"</definedName>
    <definedName name="IQ_DISPOSABLE_PERSONAL_INC_FC" hidden="1">"c7730"</definedName>
    <definedName name="IQ_DISPOSABLE_PERSONAL_INC_POP" hidden="1">"c7070"</definedName>
    <definedName name="IQ_DISPOSABLE_PERSONAL_INC_POP_FC" hidden="1">"c7950"</definedName>
    <definedName name="IQ_DISPOSABLE_PERSONAL_INC_REAL" hidden="1">"c11922"</definedName>
    <definedName name="IQ_DISPOSABLE_PERSONAL_INC_REAL_APR" hidden="1">"c11925"</definedName>
    <definedName name="IQ_DISPOSABLE_PERSONAL_INC_REAL_POP" hidden="1">"c11923"</definedName>
    <definedName name="IQ_DISPOSABLE_PERSONAL_INC_REAL_YOY" hidden="1">"c11924"</definedName>
    <definedName name="IQ_DISPOSABLE_PERSONAL_INC_SAAR" hidden="1">"c6851"</definedName>
    <definedName name="IQ_DISPOSABLE_PERSONAL_INC_SAAR_APR" hidden="1">"c7511"</definedName>
    <definedName name="IQ_DISPOSABLE_PERSONAL_INC_SAAR_APR_FC" hidden="1">"c8391"</definedName>
    <definedName name="IQ_DISPOSABLE_PERSONAL_INC_SAAR_FC" hidden="1">"c7731"</definedName>
    <definedName name="IQ_DISPOSABLE_PERSONAL_INC_SAAR_POP" hidden="1">"c7071"</definedName>
    <definedName name="IQ_DISPOSABLE_PERSONAL_INC_SAAR_POP_FC" hidden="1">"c7951"</definedName>
    <definedName name="IQ_DISPOSABLE_PERSONAL_INC_SAAR_USD_APR_FC" hidden="1">"c11805"</definedName>
    <definedName name="IQ_DISPOSABLE_PERSONAL_INC_SAAR_USD_FC" hidden="1">"c11802"</definedName>
    <definedName name="IQ_DISPOSABLE_PERSONAL_INC_SAAR_USD_POP_FC" hidden="1">"c11803"</definedName>
    <definedName name="IQ_DISPOSABLE_PERSONAL_INC_SAAR_USD_YOY_FC" hidden="1">"c11804"</definedName>
    <definedName name="IQ_DISPOSABLE_PERSONAL_INC_SAAR_YOY" hidden="1">"c7291"</definedName>
    <definedName name="IQ_DISPOSABLE_PERSONAL_INC_SAAR_YOY_FC" hidden="1">"c8171"</definedName>
    <definedName name="IQ_DISPOSABLE_PERSONAL_INC_USD_APR_FC" hidden="1">"c11801"</definedName>
    <definedName name="IQ_DISPOSABLE_PERSONAL_INC_USD_FC" hidden="1">"c11798"</definedName>
    <definedName name="IQ_DISPOSABLE_PERSONAL_INC_USD_POP_FC" hidden="1">"c11799"</definedName>
    <definedName name="IQ_DISPOSABLE_PERSONAL_INC_USD_YOY_FC" hidden="1">"c11800"</definedName>
    <definedName name="IQ_DISPOSABLE_PERSONAL_INC_YOY" hidden="1">"c7290"</definedName>
    <definedName name="IQ_DISPOSABLE_PERSONAL_INC_YOY_FC" hidden="1">"c8170"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ACT_OR_EST_CIQ" hidden="1">"c4803"</definedName>
    <definedName name="IQ_DISTRIBUTABLE_CASH_EST" hidden="1">"c4277"</definedName>
    <definedName name="IQ_DISTRIBUTABLE_CASH_HIGH_EST" hidden="1">"c4280"</definedName>
    <definedName name="IQ_DISTRIBUTABLE_CASH_LOW_EST" hidden="1">"c4281"</definedName>
    <definedName name="IQ_DISTRIBUTABLE_CASH_MEDIAN_EST" hidden="1">"c4282"</definedName>
    <definedName name="IQ_DISTRIBUTABLE_CASH_NUM_EST" hidden="1">"c4283"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STRIBUTABLE_CASH_SHARE_ACT_OR_EST_CIQ" hidden="1">"c4811"</definedName>
    <definedName name="IQ_DISTRIBUTABLE_CASH_SHARE_EST" hidden="1">"c4285"</definedName>
    <definedName name="IQ_DISTRIBUTABLE_CASH_SHARE_HIGH_EST" hidden="1">"c4288"</definedName>
    <definedName name="IQ_DISTRIBUTABLE_CASH_SHARE_LOW_EST" hidden="1">"c4289"</definedName>
    <definedName name="IQ_DISTRIBUTABLE_CASH_SHARE_MEDIAN_EST" hidden="1">"c4290"</definedName>
    <definedName name="IQ_DISTRIBUTABLE_CASH_SHARE_NUM_EST" hidden="1">"c4291"</definedName>
    <definedName name="IQ_DISTRIBUTABLE_CASH_SHARE_STDDEV_EST" hidden="1">"c4292"</definedName>
    <definedName name="IQ_DISTRIBUTABLE_CASH_STDDEV_EST" hidden="1">"c4294"</definedName>
    <definedName name="IQ_DIV_AMOUNT" hidden="1">"c3041"</definedName>
    <definedName name="IQ_DIV_PAYMENT_DATE" hidden="1">"c2205"</definedName>
    <definedName name="IQ_DIV_PAYMENT_TYPE" hidden="1">"c12752"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EST" hidden="1">"c4296"</definedName>
    <definedName name="IQ_DIVIDEND_HIGH_EST" hidden="1">"c4297"</definedName>
    <definedName name="IQ_DIVIDEND_LOW_EST" hidden="1">"c4298"</definedName>
    <definedName name="IQ_DIVIDEND_MEDIAN_EST" hidden="1">"c4299"</definedName>
    <definedName name="IQ_DIVIDEND_NUM_EST" hidden="1">"c4300"</definedName>
    <definedName name="IQ_DIVIDEND_STDDEV_EST" hidden="1">"c4301"</definedName>
    <definedName name="IQ_DIVIDEND_YIELD" hidden="1">"c332"</definedName>
    <definedName name="IQ_DIVIDENDS_DECLARED_COMMON_FDIC" hidden="1">"c6659"</definedName>
    <definedName name="IQ_DIVIDENDS_DECLARED_COMMON_FFIEC" hidden="1">"c12969"</definedName>
    <definedName name="IQ_DIVIDENDS_DECLARED_PREFERRED_FDIC" hidden="1">"c6658"</definedName>
    <definedName name="IQ_DIVIDENDS_DECLARED_PREFERRED_FFIEC" hidden="1">"c12968"</definedName>
    <definedName name="IQ_DIVIDENDS_FDIC" hidden="1">"c6660"</definedName>
    <definedName name="IQ_DIVIDENDS_NET_INCOME_FFIEC" hidden="1">"c13349"</definedName>
    <definedName name="IQ_DIVIDENDS_PAID_DECLARED_PERIOD_COVERED" hidden="1">"c9960"</definedName>
    <definedName name="IQ_DIVIDENDS_PAID_DECLARED_PERIOD_GROUP" hidden="1">"c9946"</definedName>
    <definedName name="IQ_DNB_OTHER_EXP_INC_TAX_US" hidden="1">"c6787"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OM_OFFICE_DEPOSITS_TOT_DEPOSITS_FFIEC" hidden="1">"c13910"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ACT_OR_EST_THOM" hidden="1">"c5302"</definedName>
    <definedName name="IQ_DPS_DET_EST" hidden="1">"c12052"</definedName>
    <definedName name="IQ_DPS_DET_EST_CURRENCY" hidden="1">"c12459"</definedName>
    <definedName name="IQ_DPS_DET_EST_CURRENCY_THOM" hidden="1">"c12480"</definedName>
    <definedName name="IQ_DPS_DET_EST_DATE" hidden="1">"c12205"</definedName>
    <definedName name="IQ_DPS_DET_EST_DATE_THOM" hidden="1">"c12231"</definedName>
    <definedName name="IQ_DPS_DET_EST_INCL" hidden="1">"c12342"</definedName>
    <definedName name="IQ_DPS_DET_EST_INCL_THOM" hidden="1">"c12363"</definedName>
    <definedName name="IQ_DPS_DET_EST_ORIGIN" hidden="1">"c12578"</definedName>
    <definedName name="IQ_DPS_DET_EST_ORIGIN_THOM" hidden="1">"c12601"</definedName>
    <definedName name="IQ_DPS_DET_EST_THOM" hidden="1">"c12081"</definedName>
    <definedName name="IQ_DPS_EST" hidden="1">"c1674"</definedName>
    <definedName name="IQ_DPS_EST_BOTTOM_UP" hidden="1">"c5493"</definedName>
    <definedName name="IQ_DPS_EST_THOM" hidden="1">"c4013"</definedName>
    <definedName name="IQ_DPS_HIGH_EST" hidden="1">"c1676"</definedName>
    <definedName name="IQ_DPS_HIGH_EST_THOM" hidden="1">"c4015"</definedName>
    <definedName name="IQ_DPS_LOW_EST" hidden="1">"c1677"</definedName>
    <definedName name="IQ_DPS_LOW_EST_THOM" hidden="1">"c4016"</definedName>
    <definedName name="IQ_DPS_MEDIAN_EST" hidden="1">"c1675"</definedName>
    <definedName name="IQ_DPS_MEDIAN_EST_THOM" hidden="1">"c4014"</definedName>
    <definedName name="IQ_DPS_NUM_EST" hidden="1">"c1678"</definedName>
    <definedName name="IQ_DPS_NUM_EST_THOM" hidden="1">"c4017"</definedName>
    <definedName name="IQ_DPS_STDDEV_EST" hidden="1">"c1679"</definedName>
    <definedName name="IQ_DPS_STDDEV_EST_THOM" hidden="1">"c4018"</definedName>
    <definedName name="IQ_DURABLE_INVENTORIES" hidden="1">"c6853"</definedName>
    <definedName name="IQ_DURABLE_INVENTORIES_APR" hidden="1">"c7513"</definedName>
    <definedName name="IQ_DURABLE_INVENTORIES_APR_FC" hidden="1">"c8393"</definedName>
    <definedName name="IQ_DURABLE_INVENTORIES_FC" hidden="1">"c7733"</definedName>
    <definedName name="IQ_DURABLE_INVENTORIES_POP" hidden="1">"c7073"</definedName>
    <definedName name="IQ_DURABLE_INVENTORIES_POP_FC" hidden="1">"c7953"</definedName>
    <definedName name="IQ_DURABLE_INVENTORIES_YOY" hidden="1">"c7293"</definedName>
    <definedName name="IQ_DURABLE_INVENTORIES_YOY_FC" hidden="1">"c8173"</definedName>
    <definedName name="IQ_DURABLE_ORDERS" hidden="1">"c6854"</definedName>
    <definedName name="IQ_DURABLE_ORDERS_APR" hidden="1">"c7514"</definedName>
    <definedName name="IQ_DURABLE_ORDERS_APR_FC" hidden="1">"c8394"</definedName>
    <definedName name="IQ_DURABLE_ORDERS_FC" hidden="1">"c7734"</definedName>
    <definedName name="IQ_DURABLE_ORDERS_POP" hidden="1">"c7074"</definedName>
    <definedName name="IQ_DURABLE_ORDERS_POP_FC" hidden="1">"c7954"</definedName>
    <definedName name="IQ_DURABLE_ORDERS_YOY" hidden="1">"c7294"</definedName>
    <definedName name="IQ_DURABLE_ORDERS_YOY_FC" hidden="1">"c8174"</definedName>
    <definedName name="IQ_DURABLE_SHIPMENTS" hidden="1">"c6855"</definedName>
    <definedName name="IQ_DURABLE_SHIPMENTS_APR" hidden="1">"c7515"</definedName>
    <definedName name="IQ_DURABLE_SHIPMENTS_APR_FC" hidden="1">"c8395"</definedName>
    <definedName name="IQ_DURABLE_SHIPMENTS_FC" hidden="1">"c7735"</definedName>
    <definedName name="IQ_DURABLE_SHIPMENTS_POP" hidden="1">"c7075"</definedName>
    <definedName name="IQ_DURABLE_SHIPMENTS_POP_FC" hidden="1">"c7955"</definedName>
    <definedName name="IQ_DURABLE_SHIPMENTS_YOY" hidden="1">"c7295"</definedName>
    <definedName name="IQ_DURABLE_SHIPMENTS_YOY_FC" hidden="1">"c8175"</definedName>
    <definedName name="IQ_DURATION" hidden="1">"c2181"</definedName>
    <definedName name="IQ_EARNING_ASSET_YIELD" hidden="1">"c343"</definedName>
    <definedName name="IQ_EARNING_ASSETS_AVG_ASSETS_FFIEC" hidden="1">"c13354"</definedName>
    <definedName name="IQ_EARNING_ASSETS_FDIC" hidden="1">"c6360"</definedName>
    <definedName name="IQ_EARNING_ASSETS_QUARTERLY_AVG_FFIEC" hidden="1">"c13086"</definedName>
    <definedName name="IQ_EARNING_ASSETS_REPRICE_ASSETS_TOT_FFIEC" hidden="1">"c13451"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CIQ" hidden="1">"c4656"</definedName>
    <definedName name="IQ_EARNINGS_ANNOUNCE_DATE_THOM" hidden="1">"c5093"</definedName>
    <definedName name="IQ_EARNINGS_CO_FFIEC" hidden="1">"c13032"</definedName>
    <definedName name="IQ_EARNINGS_COVERAGE_LOSSES_FFIEC" hidden="1">"c13351"</definedName>
    <definedName name="IQ_EARNINGS_COVERAGE_NET_CHARGE_OFFS_FDIC" hidden="1">"c6735"</definedName>
    <definedName name="IQ_EARNINGS_LIFE_INSURANCE_FFIEC" hidden="1">"c13041"</definedName>
    <definedName name="IQ_EARNINGS_PERIOD_COVERED" hidden="1">"c9958"</definedName>
    <definedName name="IQ_EARNINGS_PERIOD_GROUP" hidden="1">"c9944"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ACT_OR_EST_THOM" hidden="1">"c5303"</definedName>
    <definedName name="IQ_EBIT_DET_EST" hidden="1">"c12053"</definedName>
    <definedName name="IQ_EBIT_DET_EST_CURRENCY" hidden="1">"c12460"</definedName>
    <definedName name="IQ_EBIT_DET_EST_CURRENCY_THOM" hidden="1">"c12481"</definedName>
    <definedName name="IQ_EBIT_DET_EST_DATE" hidden="1">"c12206"</definedName>
    <definedName name="IQ_EBIT_DET_EST_DATE_THOM" hidden="1">"c12232"</definedName>
    <definedName name="IQ_EBIT_DET_EST_INCL" hidden="1">"c12343"</definedName>
    <definedName name="IQ_EBIT_DET_EST_INCL_THOM" hidden="1">"c12364"</definedName>
    <definedName name="IQ_EBIT_DET_EST_ORIGIN" hidden="1">"c12579"</definedName>
    <definedName name="IQ_EBIT_DET_EST_ORIGIN_THOM" hidden="1">"c12602"</definedName>
    <definedName name="IQ_EBIT_DET_EST_THOM" hidden="1">"c12082"</definedName>
    <definedName name="IQ_EBIT_EQ_INC" hidden="1">"c3498"</definedName>
    <definedName name="IQ_EBIT_EQ_INC_EXCL_SBC" hidden="1">"c3502"</definedName>
    <definedName name="IQ_EBIT_EST" hidden="1">"c1681"</definedName>
    <definedName name="IQ_EBIT_EST_THOM" hidden="1">"c5105"</definedName>
    <definedName name="IQ_EBIT_EXCL_SBC" hidden="1">"c3082"</definedName>
    <definedName name="IQ_EBIT_GW_ACT_OR_EST" hidden="1">"c4306"</definedName>
    <definedName name="IQ_EBIT_GW_EST" hidden="1">"c4305"</definedName>
    <definedName name="IQ_EBIT_GW_HIGH_EST" hidden="1">"c4308"</definedName>
    <definedName name="IQ_EBIT_GW_LOW_EST" hidden="1">"c4309"</definedName>
    <definedName name="IQ_EBIT_GW_MEDIAN_EST" hidden="1">"c4310"</definedName>
    <definedName name="IQ_EBIT_GW_NUM_EST" hidden="1">"c4311"</definedName>
    <definedName name="IQ_EBIT_GW_STDDEV_EST" hidden="1">"c4312"</definedName>
    <definedName name="IQ_EBIT_HIGH_EST" hidden="1">"c1683"</definedName>
    <definedName name="IQ_EBIT_HIGH_EST_THOM" hidden="1">"c5107"</definedName>
    <definedName name="IQ_EBIT_INT" hidden="1">"c360"</definedName>
    <definedName name="IQ_EBIT_LOW_EST" hidden="1">"c1684"</definedName>
    <definedName name="IQ_EBIT_LOW_EST_THOM" hidden="1">"c5108"</definedName>
    <definedName name="IQ_EBIT_MARGIN" hidden="1">"c359"</definedName>
    <definedName name="IQ_EBIT_MEDIAN_EST" hidden="1">"c1682"</definedName>
    <definedName name="IQ_EBIT_MEDIAN_EST_THOM" hidden="1">"c5106"</definedName>
    <definedName name="IQ_EBIT_NUM_EST" hidden="1">"c1685"</definedName>
    <definedName name="IQ_EBIT_NUM_EST_THOM" hidden="1">"c5109"</definedName>
    <definedName name="IQ_EBIT_OVER_IE" hidden="1">"c1369"</definedName>
    <definedName name="IQ_EBIT_SBC_ACT_OR_EST" hidden="1">"c4316"</definedName>
    <definedName name="IQ_EBIT_SBC_ACT_OR_EST_CIQ" hidden="1">"c4841"</definedName>
    <definedName name="IQ_EBIT_SBC_EST" hidden="1">"c4315"</definedName>
    <definedName name="IQ_EBIT_SBC_GW_ACT_OR_EST" hidden="1">"c4320"</definedName>
    <definedName name="IQ_EBIT_SBC_GW_ACT_OR_EST_CIQ" hidden="1">"c4845"</definedName>
    <definedName name="IQ_EBIT_SBC_GW_EST" hidden="1">"c4319"</definedName>
    <definedName name="IQ_EBIT_SBC_GW_HIGH_EST" hidden="1">"c4322"</definedName>
    <definedName name="IQ_EBIT_SBC_GW_LOW_EST" hidden="1">"c4323"</definedName>
    <definedName name="IQ_EBIT_SBC_GW_MEDIAN_EST" hidden="1">"c4324"</definedName>
    <definedName name="IQ_EBIT_SBC_GW_NUM_EST" hidden="1">"c4325"</definedName>
    <definedName name="IQ_EBIT_SBC_GW_STDDEV_EST" hidden="1">"c4326"</definedName>
    <definedName name="IQ_EBIT_SBC_HIGH_EST" hidden="1">"c4328"</definedName>
    <definedName name="IQ_EBIT_SBC_LOW_EST" hidden="1">"c4329"</definedName>
    <definedName name="IQ_EBIT_SBC_MEDIAN_EST" hidden="1">"c4330"</definedName>
    <definedName name="IQ_EBIT_SBC_NUM_EST" hidden="1">"c4331"</definedName>
    <definedName name="IQ_EBIT_SBC_STDDEV_EST" hidden="1">"c4332"</definedName>
    <definedName name="IQ_EBIT_STDDEV_EST" hidden="1">"c1686"</definedName>
    <definedName name="IQ_EBIT_STDDEV_EST_THOM" hidden="1">"c5110"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CIQ" hidden="1">"c5060"</definedName>
    <definedName name="IQ_EBITDA_ACT_OR_EST_THOM" hidden="1">"c5300"</definedName>
    <definedName name="IQ_EBITDA_CAPEX_INT" hidden="1">"c368"</definedName>
    <definedName name="IQ_EBITDA_CAPEX_OVER_TOTAL_IE" hidden="1">"c1370"</definedName>
    <definedName name="IQ_EBITDA_DET_EST" hidden="1">"c12054"</definedName>
    <definedName name="IQ_EBITDA_DET_EST_CURRENCY" hidden="1">"c12461"</definedName>
    <definedName name="IQ_EBITDA_DET_EST_CURRENCY_THOM" hidden="1">"c12482"</definedName>
    <definedName name="IQ_EBITDA_DET_EST_DATE" hidden="1">"c12207"</definedName>
    <definedName name="IQ_EBITDA_DET_EST_DATE_THOM" hidden="1">"c12233"</definedName>
    <definedName name="IQ_EBITDA_DET_EST_INCL" hidden="1">"c12344"</definedName>
    <definedName name="IQ_EBITDA_DET_EST_INCL_THOM" hidden="1">"c12365"</definedName>
    <definedName name="IQ_EBITDA_DET_EST_ORIGIN" hidden="1">"c12580"</definedName>
    <definedName name="IQ_EBITDA_DET_EST_ORIGIN_THOM" hidden="1">"c12603"</definedName>
    <definedName name="IQ_EBITDA_DET_EST_THOM" hidden="1">"c12083"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CIQ" hidden="1">"c3622"</definedName>
    <definedName name="IQ_EBITDA_EST_THOM" hidden="1">"c3658"</definedName>
    <definedName name="IQ_EBITDA_EXCL_SBC" hidden="1">"c3081"</definedName>
    <definedName name="IQ_EBITDA_HIGH_EST" hidden="1">"c370"</definedName>
    <definedName name="IQ_EBITDA_HIGH_EST_CIQ" hidden="1">"c3624"</definedName>
    <definedName name="IQ_EBITDA_HIGH_EST_THOM" hidden="1">"c3660"</definedName>
    <definedName name="IQ_EBITDA_INT" hidden="1">"c373"</definedName>
    <definedName name="IQ_EBITDA_LOW_EST" hidden="1">"c371"</definedName>
    <definedName name="IQ_EBITDA_LOW_EST_CIQ" hidden="1">"c3625"</definedName>
    <definedName name="IQ_EBITDA_LOW_EST_THOM" hidden="1">"c3661"</definedName>
    <definedName name="IQ_EBITDA_MARGIN" hidden="1">"c372"</definedName>
    <definedName name="IQ_EBITDA_MEDIAN_EST" hidden="1">"c1663"</definedName>
    <definedName name="IQ_EBITDA_MEDIAN_EST_CIQ" hidden="1">"c3623"</definedName>
    <definedName name="IQ_EBITDA_MEDIAN_EST_THOM" hidden="1">"c3659"</definedName>
    <definedName name="IQ_EBITDA_NUM_EST" hidden="1">"c374"</definedName>
    <definedName name="IQ_EBITDA_NUM_EST_CIQ" hidden="1">"c3626"</definedName>
    <definedName name="IQ_EBITDA_NUM_EST_THOM" hidden="1">"c3662"</definedName>
    <definedName name="IQ_EBITDA_OVER_TOTAL_IE" hidden="1">"c1371"</definedName>
    <definedName name="IQ_EBITDA_SBC_ACT_OR_EST" hidden="1">"c4337"</definedName>
    <definedName name="IQ_EBITDA_SBC_ACT_OR_EST_CIQ" hidden="1">"c4862"</definedName>
    <definedName name="IQ_EBITDA_SBC_EST" hidden="1">"c4336"</definedName>
    <definedName name="IQ_EBITDA_SBC_HIGH_EST" hidden="1">"c4339"</definedName>
    <definedName name="IQ_EBITDA_SBC_LOW_EST" hidden="1">"c4340"</definedName>
    <definedName name="IQ_EBITDA_SBC_MEDIAN_EST" hidden="1">"c4341"</definedName>
    <definedName name="IQ_EBITDA_SBC_NUM_EST" hidden="1">"c4342"</definedName>
    <definedName name="IQ_EBITDA_SBC_STDDEV_EST" hidden="1">"c4343"</definedName>
    <definedName name="IQ_EBITDA_STDDEV_EST" hidden="1">"c375"</definedName>
    <definedName name="IQ_EBITDA_STDDEV_EST_CIQ" hidden="1">"c3627"</definedName>
    <definedName name="IQ_EBITDA_STDDEV_EST_THOM" hidden="1">"c3663"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FIEC" hidden="1">"c13029"</definedName>
    <definedName name="IQ_EBT_FIN" hidden="1">"c386"</definedName>
    <definedName name="IQ_EBT_FTE_FFIEC" hidden="1">"c13037"</definedName>
    <definedName name="IQ_EBT_INCL_MARGIN" hidden="1">"c387"</definedName>
    <definedName name="IQ_EBT_INS" hidden="1">"c388"</definedName>
    <definedName name="IQ_EBT_RE" hidden="1">"c6215"</definedName>
    <definedName name="IQ_EBT_REIT" hidden="1">"c389"</definedName>
    <definedName name="IQ_EBT_SBC_ACT_OR_EST" hidden="1">"c4350"</definedName>
    <definedName name="IQ_EBT_SBC_ACT_OR_EST_CIQ" hidden="1">"c4875"</definedName>
    <definedName name="IQ_EBT_SBC_EST" hidden="1">"c4349"</definedName>
    <definedName name="IQ_EBT_SBC_GW_ACT_OR_EST" hidden="1">"c4354"</definedName>
    <definedName name="IQ_EBT_SBC_GW_ACT_OR_EST_CIQ" hidden="1">"c4879"</definedName>
    <definedName name="IQ_EBT_SBC_GW_EST" hidden="1">"c4353"</definedName>
    <definedName name="IQ_EBT_SBC_GW_HIGH_EST" hidden="1">"c4356"</definedName>
    <definedName name="IQ_EBT_SBC_GW_LOW_EST" hidden="1">"c4357"</definedName>
    <definedName name="IQ_EBT_SBC_GW_MEDIAN_EST" hidden="1">"c4358"</definedName>
    <definedName name="IQ_EBT_SBC_GW_NUM_EST" hidden="1">"c4359"</definedName>
    <definedName name="IQ_EBT_SBC_GW_STDDEV_EST" hidden="1">"c4360"</definedName>
    <definedName name="IQ_EBT_SBC_HIGH_EST" hidden="1">"c4362"</definedName>
    <definedName name="IQ_EBT_SBC_LOW_EST" hidden="1">"c4363"</definedName>
    <definedName name="IQ_EBT_SBC_MEDIAN_EST" hidden="1">"c4364"</definedName>
    <definedName name="IQ_EBT_SBC_NUM_EST" hidden="1">"c4365"</definedName>
    <definedName name="IQ_EBT_SBC_STDDEV_EST" hidden="1">"c4366"</definedName>
    <definedName name="IQ_EBT_SUBTOTAL_AP" hidden="1">"c8982"</definedName>
    <definedName name="IQ_EBT_UTI" hidden="1">"c390"</definedName>
    <definedName name="IQ_ECO_METRIC_6825_UNUSED" hidden="1">"c6825"</definedName>
    <definedName name="IQ_ECO_METRIC_6839_UNUSED" hidden="1">"c6839"</definedName>
    <definedName name="IQ_ECO_METRIC_6896_UNUSED" hidden="1">"c6896"</definedName>
    <definedName name="IQ_ECO_METRIC_6897_UNUSED" hidden="1">"c6897"</definedName>
    <definedName name="IQ_ECO_METRIC_6927" hidden="1">"c6927"</definedName>
    <definedName name="IQ_ECO_METRIC_6988_UNUSED" hidden="1">"c6988"</definedName>
    <definedName name="IQ_ECO_METRIC_7045_UNUSED" hidden="1">"c7045"</definedName>
    <definedName name="IQ_ECO_METRIC_7059_UNUSED" hidden="1">"c7059"</definedName>
    <definedName name="IQ_ECO_METRIC_7116_UNUSED" hidden="1">"c7116"</definedName>
    <definedName name="IQ_ECO_METRIC_7117_UNUSED" hidden="1">"c7117"</definedName>
    <definedName name="IQ_ECO_METRIC_7147" hidden="1">"c7147"</definedName>
    <definedName name="IQ_ECO_METRIC_7208_UNUSED" hidden="1">"c7208"</definedName>
    <definedName name="IQ_ECO_METRIC_7265_UNUSED" hidden="1">"c7265"</definedName>
    <definedName name="IQ_ECO_METRIC_7279_UNUSED" hidden="1">"c7279"</definedName>
    <definedName name="IQ_ECO_METRIC_7336_UNUSED" hidden="1">"c7336"</definedName>
    <definedName name="IQ_ECO_METRIC_7337_UNUSED" hidden="1">"c7337"</definedName>
    <definedName name="IQ_ECO_METRIC_7367" hidden="1">"c7367"</definedName>
    <definedName name="IQ_ECO_METRIC_7428_UNUSED" hidden="1">"c7428"</definedName>
    <definedName name="IQ_ECO_METRIC_7556_UNUSED" hidden="1">"c7556"</definedName>
    <definedName name="IQ_ECO_METRIC_7557_UNUSED" hidden="1">"c7557"</definedName>
    <definedName name="IQ_ECO_METRIC_7587" hidden="1">"c7587"</definedName>
    <definedName name="IQ_ECO_METRIC_7648_UNUSED" hidden="1">"c7648"</definedName>
    <definedName name="IQ_ECO_METRIC_7704" hidden="1">"c7704"</definedName>
    <definedName name="IQ_ECO_METRIC_7705_UNUSED" hidden="1">"c7705"</definedName>
    <definedName name="IQ_ECO_METRIC_7706" hidden="1">"c7706"</definedName>
    <definedName name="IQ_ECO_METRIC_7718" hidden="1">"c7718"</definedName>
    <definedName name="IQ_ECO_METRIC_7719_UNUSED" hidden="1">"c7719"</definedName>
    <definedName name="IQ_ECO_METRIC_7776_UNUSED" hidden="1">"c7776"</definedName>
    <definedName name="IQ_ECO_METRIC_7777_UNUSED" hidden="1">"c7777"</definedName>
    <definedName name="IQ_ECO_METRIC_7807" hidden="1">"c7807"</definedName>
    <definedName name="IQ_ECO_METRIC_7811" hidden="1">"c7811"</definedName>
    <definedName name="IQ_ECO_METRIC_7868_UNUSED" hidden="1">"c7868"</definedName>
    <definedName name="IQ_ECO_METRIC_7873" hidden="1">"c7873"</definedName>
    <definedName name="IQ_ECO_METRIC_7924" hidden="1">"c7924"</definedName>
    <definedName name="IQ_ECO_METRIC_7925_UNUSED" hidden="1">"c7925"</definedName>
    <definedName name="IQ_ECO_METRIC_7926" hidden="1">"c7926"</definedName>
    <definedName name="IQ_ECO_METRIC_7938" hidden="1">"c7938"</definedName>
    <definedName name="IQ_ECO_METRIC_7939_UNUSED" hidden="1">"c7939"</definedName>
    <definedName name="IQ_ECO_METRIC_7996_UNUSED" hidden="1">"c7996"</definedName>
    <definedName name="IQ_ECO_METRIC_7997_UNUSED" hidden="1">"c7997"</definedName>
    <definedName name="IQ_ECO_METRIC_8027" hidden="1">"c8027"</definedName>
    <definedName name="IQ_ECO_METRIC_8031" hidden="1">"c8031"</definedName>
    <definedName name="IQ_ECO_METRIC_8088_UNUSED" hidden="1">"c8088"</definedName>
    <definedName name="IQ_ECO_METRIC_8093" hidden="1">"c8093"</definedName>
    <definedName name="IQ_ECO_METRIC_8144" hidden="1">"c8144"</definedName>
    <definedName name="IQ_ECO_METRIC_8145_UNUSED" hidden="1">"c8145"</definedName>
    <definedName name="IQ_ECO_METRIC_8146" hidden="1">"c8146"</definedName>
    <definedName name="IQ_ECO_METRIC_8158" hidden="1">"c8158"</definedName>
    <definedName name="IQ_ECO_METRIC_8159_UNUSED" hidden="1">"c8159"</definedName>
    <definedName name="IQ_ECO_METRIC_8216_UNUSED" hidden="1">"c8216"</definedName>
    <definedName name="IQ_ECO_METRIC_8217_UNUSED" hidden="1">"c8217"</definedName>
    <definedName name="IQ_ECO_METRIC_8247" hidden="1">"c8247"</definedName>
    <definedName name="IQ_ECO_METRIC_8251" hidden="1">"c8251"</definedName>
    <definedName name="IQ_ECO_METRIC_8308_UNUSED" hidden="1">"c8308"</definedName>
    <definedName name="IQ_ECO_METRIC_8313" hidden="1">"c8313"</definedName>
    <definedName name="IQ_ECO_METRIC_8366" hidden="1">"c8366"</definedName>
    <definedName name="IQ_ECO_METRIC_8378" hidden="1">"c8378"</definedName>
    <definedName name="IQ_ECO_METRIC_8436_UNUSED" hidden="1">"c8436"</definedName>
    <definedName name="IQ_ECO_METRIC_8437_UNUSED" hidden="1">"c8437"</definedName>
    <definedName name="IQ_ECO_METRIC_8467" hidden="1">"c8467"</definedName>
    <definedName name="IQ_ECO_METRIC_8471" hidden="1">"c8471"</definedName>
    <definedName name="IQ_ECO_METRIC_8528_UNUSED" hidden="1">"c8528"</definedName>
    <definedName name="IQ_ECO_METRIC_8533" hidden="1">"c8533"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ECTIVE_DATE" hidden="1">"c8966"</definedName>
    <definedName name="IQ_EFFICIENCY_RATIO" hidden="1">"c391"</definedName>
    <definedName name="IQ_EFFICIENCY_RATIO_FDIC" hidden="1">"c6736"</definedName>
    <definedName name="IQ_EMBEDDED_VAL_COVERED" hidden="1">"c9962"</definedName>
    <definedName name="IQ_EMBEDDED_VAL_COVERED_BEG" hidden="1">"c9957"</definedName>
    <definedName name="IQ_EMBEDDED_VAL_GROUP" hidden="1">"c9948"</definedName>
    <definedName name="IQ_EMBEDDED_VAL_GROUP_BEG" hidden="1">"c9943"</definedName>
    <definedName name="IQ_EMPLOY_COST_INDEX_BENEFITS" hidden="1">"c6857"</definedName>
    <definedName name="IQ_EMPLOY_COST_INDEX_BENEFITS_APR" hidden="1">"c7517"</definedName>
    <definedName name="IQ_EMPLOY_COST_INDEX_BENEFITS_APR_FC" hidden="1">"c8397"</definedName>
    <definedName name="IQ_EMPLOY_COST_INDEX_BENEFITS_FC" hidden="1">"c7737"</definedName>
    <definedName name="IQ_EMPLOY_COST_INDEX_BENEFITS_POP" hidden="1">"c7077"</definedName>
    <definedName name="IQ_EMPLOY_COST_INDEX_BENEFITS_POP_FC" hidden="1">"c7957"</definedName>
    <definedName name="IQ_EMPLOY_COST_INDEX_BENEFITS_YOY" hidden="1">"c7297"</definedName>
    <definedName name="IQ_EMPLOY_COST_INDEX_BENEFITS_YOY_FC" hidden="1">"c8177"</definedName>
    <definedName name="IQ_EMPLOY_COST_INDEX_COMP" hidden="1">"c6856"</definedName>
    <definedName name="IQ_EMPLOY_COST_INDEX_COMP_APR" hidden="1">"c7516"</definedName>
    <definedName name="IQ_EMPLOY_COST_INDEX_COMP_APR_FC" hidden="1">"c8396"</definedName>
    <definedName name="IQ_EMPLOY_COST_INDEX_COMP_FC" hidden="1">"c7736"</definedName>
    <definedName name="IQ_EMPLOY_COST_INDEX_COMP_POP" hidden="1">"c7076"</definedName>
    <definedName name="IQ_EMPLOY_COST_INDEX_COMP_POP_FC" hidden="1">"c7956"</definedName>
    <definedName name="IQ_EMPLOY_COST_INDEX_COMP_YOY" hidden="1">"c7296"</definedName>
    <definedName name="IQ_EMPLOY_COST_INDEX_COMP_YOY_FC" hidden="1">"c8176"</definedName>
    <definedName name="IQ_EMPLOY_COST_INDEX_WAGE_SALARY" hidden="1">"c6858"</definedName>
    <definedName name="IQ_EMPLOY_COST_INDEX_WAGE_SALARY_APR" hidden="1">"c7518"</definedName>
    <definedName name="IQ_EMPLOY_COST_INDEX_WAGE_SALARY_APR_FC" hidden="1">"c8398"</definedName>
    <definedName name="IQ_EMPLOY_COST_INDEX_WAGE_SALARY_FC" hidden="1">"c7738"</definedName>
    <definedName name="IQ_EMPLOY_COST_INDEX_WAGE_SALARY_POP" hidden="1">"c7078"</definedName>
    <definedName name="IQ_EMPLOY_COST_INDEX_WAGE_SALARY_POP_FC" hidden="1">"c7958"</definedName>
    <definedName name="IQ_EMPLOY_COST_INDEX_WAGE_SALARY_YOY" hidden="1">"c7298"</definedName>
    <definedName name="IQ_EMPLOY_COST_INDEX_WAGE_SALARY_YOY_FC" hidden="1">"c8178"</definedName>
    <definedName name="IQ_EMPLOYEES" hidden="1">"c392"</definedName>
    <definedName name="IQ_EMPLOYEES_FFIEC" hidden="1">"c13035"</definedName>
    <definedName name="IQ_ENTERPRISE_VALUE" hidden="1">"c1348"</definedName>
    <definedName name="IQ_ENTITLEMENT_DET_EST" hidden="1">"c12044"</definedName>
    <definedName name="IQ_ENTITLEMENT_DET_EST_THOM" hidden="1">"c12072"</definedName>
    <definedName name="IQ_ENTREPRENEURAL_PROPERTY_INC" hidden="1">"c6859"</definedName>
    <definedName name="IQ_ENTREPRENEURAL_PROPERTY_INC_APR" hidden="1">"c7519"</definedName>
    <definedName name="IQ_ENTREPRENEURAL_PROPERTY_INC_APR_FC" hidden="1">"c8399"</definedName>
    <definedName name="IQ_ENTREPRENEURAL_PROPERTY_INC_FC" hidden="1">"c7739"</definedName>
    <definedName name="IQ_ENTREPRENEURAL_PROPERTY_INC_POP" hidden="1">"c7079"</definedName>
    <definedName name="IQ_ENTREPRENEURAL_PROPERTY_INC_POP_FC" hidden="1">"c7959"</definedName>
    <definedName name="IQ_ENTREPRENEURAL_PROPERTY_INC_YOY" hidden="1">"c7299"</definedName>
    <definedName name="IQ_ENTREPRENEURAL_PROPERTY_INC_YOY_FC" hidden="1">"c8179"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CIQ" hidden="1">"c5058"</definedName>
    <definedName name="IQ_EPS_ACT_OR_EST_THOM" hidden="1">"c5298"</definedName>
    <definedName name="IQ_EPS_AP" hidden="1">"c8880"</definedName>
    <definedName name="IQ_EPS_AP_ABS" hidden="1">"c8899"</definedName>
    <definedName name="IQ_EPS_DET_EST" hidden="1">"c13571"</definedName>
    <definedName name="IQ_EPS_DET_EST_CURRENCY" hidden="1">"c13583"</definedName>
    <definedName name="IQ_EPS_DET_EST_CURRENCY_THOM" hidden="1">"c12484"</definedName>
    <definedName name="IQ_EPS_DET_EST_DATE" hidden="1">"c13575"</definedName>
    <definedName name="IQ_EPS_DET_EST_DATE_THOM" hidden="1">"c12235"</definedName>
    <definedName name="IQ_EPS_DET_EST_INCL" hidden="1">"c13587"</definedName>
    <definedName name="IQ_EPS_DET_EST_INCL_THOM" hidden="1">"c12367"</definedName>
    <definedName name="IQ_EPS_DET_EST_ORIGIN" hidden="1">"c13579"</definedName>
    <definedName name="IQ_EPS_DET_EST_ORIGIN_THOM" hidden="1">"c12605"</definedName>
    <definedName name="IQ_EPS_DET_EST_THOM" hidden="1">"c12085"</definedName>
    <definedName name="IQ_EPS_EST" hidden="1">"c399"</definedName>
    <definedName name="IQ_EPS_EST_BOTTOM_UP" hidden="1">"c5489"</definedName>
    <definedName name="IQ_EPS_EST_BOTTOM_UP_CIQ" hidden="1">"c12026"</definedName>
    <definedName name="IQ_EPS_EST_BOTTOM_UP_THOM" hidden="1">"c5647"</definedName>
    <definedName name="IQ_EPS_EST_CIQ" hidden="1">"c4994"</definedName>
    <definedName name="IQ_EPS_EST_THOM" hidden="1">"c5290"</definedName>
    <definedName name="IQ_EPS_GW_ACT_OR_EST" hidden="1">"c2223"</definedName>
    <definedName name="IQ_EPS_GW_ACT_OR_EST_CIQ" hidden="1">"c5066"</definedName>
    <definedName name="IQ_EPS_GW_DET_EST" hidden="1">"c12056"</definedName>
    <definedName name="IQ_EPS_GW_DET_EST_CURRENCY" hidden="1">"c12463"</definedName>
    <definedName name="IQ_EPS_GW_DET_EST_CURRENCY_THOM" hidden="1">"c12485"</definedName>
    <definedName name="IQ_EPS_GW_DET_EST_DATE" hidden="1">"c12209"</definedName>
    <definedName name="IQ_EPS_GW_DET_EST_DATE_THOM" hidden="1">"c12236"</definedName>
    <definedName name="IQ_EPS_GW_DET_EST_INCL" hidden="1">"c12346"</definedName>
    <definedName name="IQ_EPS_GW_DET_EST_INCL_THOM" hidden="1">"c12368"</definedName>
    <definedName name="IQ_EPS_GW_DET_EST_ORIGIN" hidden="1">"c12582"</definedName>
    <definedName name="IQ_EPS_GW_DET_EST_ORIGIN_THOM" hidden="1">"c12606"</definedName>
    <definedName name="IQ_EPS_GW_DET_EST_THOM" hidden="1">"c12086"</definedName>
    <definedName name="IQ_EPS_GW_EST" hidden="1">"c1737"</definedName>
    <definedName name="IQ_EPS_GW_EST_BOTTOM_UP" hidden="1">"c5491"</definedName>
    <definedName name="IQ_EPS_GW_EST_BOTTOM_UP_CIQ" hidden="1">"c12028"</definedName>
    <definedName name="IQ_EPS_GW_EST_CIQ" hidden="1">"c4723"</definedName>
    <definedName name="IQ_EPS_GW_EST_THOM" hidden="1">"c5133"</definedName>
    <definedName name="IQ_EPS_GW_HIGH_EST" hidden="1">"c1739"</definedName>
    <definedName name="IQ_EPS_GW_HIGH_EST_CIQ" hidden="1">"c4725"</definedName>
    <definedName name="IQ_EPS_GW_HIGH_EST_THOM" hidden="1">"c5135"</definedName>
    <definedName name="IQ_EPS_GW_LOW_EST" hidden="1">"c1740"</definedName>
    <definedName name="IQ_EPS_GW_LOW_EST_CIQ" hidden="1">"c4726"</definedName>
    <definedName name="IQ_EPS_GW_LOW_EST_THOM" hidden="1">"c5136"</definedName>
    <definedName name="IQ_EPS_GW_MEDIAN_EST" hidden="1">"c1738"</definedName>
    <definedName name="IQ_EPS_GW_MEDIAN_EST_CIQ" hidden="1">"c4724"</definedName>
    <definedName name="IQ_EPS_GW_MEDIAN_EST_THOM" hidden="1">"c5134"</definedName>
    <definedName name="IQ_EPS_GW_NUM_EST" hidden="1">"c1741"</definedName>
    <definedName name="IQ_EPS_GW_NUM_EST_CIQ" hidden="1">"c4727"</definedName>
    <definedName name="IQ_EPS_GW_NUM_EST_THOM" hidden="1">"c5137"</definedName>
    <definedName name="IQ_EPS_GW_STDDEV_EST" hidden="1">"c1742"</definedName>
    <definedName name="IQ_EPS_GW_STDDEV_EST_CIQ" hidden="1">"c4728"</definedName>
    <definedName name="IQ_EPS_GW_STDDEV_EST_THOM" hidden="1">"c5138"</definedName>
    <definedName name="IQ_EPS_HIGH_EST" hidden="1">"c400"</definedName>
    <definedName name="IQ_EPS_HIGH_EST_CIQ" hidden="1">"c4995"</definedName>
    <definedName name="IQ_EPS_HIGH_EST_THOM" hidden="1">"c5291"</definedName>
    <definedName name="IQ_EPS_LOW_EST" hidden="1">"c401"</definedName>
    <definedName name="IQ_EPS_LOW_EST_CIQ" hidden="1">"c4996"</definedName>
    <definedName name="IQ_EPS_LOW_EST_THOM" hidden="1">"c5292"</definedName>
    <definedName name="IQ_EPS_MEDIAN_EST" hidden="1">"c1661"</definedName>
    <definedName name="IQ_EPS_MEDIAN_EST_CIQ" hidden="1">"c4997"</definedName>
    <definedName name="IQ_EPS_MEDIAN_EST_THOM" hidden="1">"c5293"</definedName>
    <definedName name="IQ_EPS_NAME_AP" hidden="1">"c8918"</definedName>
    <definedName name="IQ_EPS_NAME_AP_ABS" hidden="1">"c8937"</definedName>
    <definedName name="IQ_EPS_NORM" hidden="1">"c1902"</definedName>
    <definedName name="IQ_EPS_NORM_DET_EST" hidden="1">"c12058"</definedName>
    <definedName name="IQ_EPS_NORM_DET_EST_CURRENCY" hidden="1">"c12465"</definedName>
    <definedName name="IQ_EPS_NORM_DET_EST_DATE" hidden="1">"c12211"</definedName>
    <definedName name="IQ_EPS_NORM_DET_EST_INCL" hidden="1">"c12348"</definedName>
    <definedName name="IQ_EPS_NORM_DET_EST_ORIGIN" hidden="1">"c12583"</definedName>
    <definedName name="IQ_EPS_NORM_DET_EST_ORIGIN_THOM" hidden="1">"c12607"</definedName>
    <definedName name="IQ_EPS_NORM_EST" hidden="1">"c2226"</definedName>
    <definedName name="IQ_EPS_NORM_EST_BOTTOM_UP" hidden="1">"c5490"</definedName>
    <definedName name="IQ_EPS_NORM_EST_BOTTOM_UP_CIQ" hidden="1">"c12027"</definedName>
    <definedName name="IQ_EPS_NORM_EST_CIQ" hidden="1">"c4667"</definedName>
    <definedName name="IQ_EPS_NORM_HIGH_EST" hidden="1">"c2228"</definedName>
    <definedName name="IQ_EPS_NORM_HIGH_EST_CIQ" hidden="1">"c4669"</definedName>
    <definedName name="IQ_EPS_NORM_LOW_EST" hidden="1">"c2229"</definedName>
    <definedName name="IQ_EPS_NORM_LOW_EST_CIQ" hidden="1">"c4670"</definedName>
    <definedName name="IQ_EPS_NORM_MEDIAN_EST" hidden="1">"c2227"</definedName>
    <definedName name="IQ_EPS_NORM_MEDIAN_EST_CIQ" hidden="1">"c4668"</definedName>
    <definedName name="IQ_EPS_NORM_NUM_EST" hidden="1">"c2230"</definedName>
    <definedName name="IQ_EPS_NORM_NUM_EST_CIQ" hidden="1">"c4671"</definedName>
    <definedName name="IQ_EPS_NORM_STDDEV_EST" hidden="1">"c2231"</definedName>
    <definedName name="IQ_EPS_NORM_STDDEV_EST_CIQ" hidden="1">"c4672"</definedName>
    <definedName name="IQ_EPS_NUM_EST" hidden="1">"c402"</definedName>
    <definedName name="IQ_EPS_NUM_EST_CIQ" hidden="1">"c4992"</definedName>
    <definedName name="IQ_EPS_NUM_EST_THOM" hidden="1">"c5288"</definedName>
    <definedName name="IQ_EPS_REPORT_ACT_OR_EST" hidden="1">"c2224"</definedName>
    <definedName name="IQ_EPS_REPORT_ACT_OR_EST_CIQ" hidden="1">"c5067"</definedName>
    <definedName name="IQ_EPS_REPORT_ACT_OR_EST_THOM" hidden="1">"c5307"</definedName>
    <definedName name="IQ_EPS_REPORTED_DET_EST" hidden="1">"c12057"</definedName>
    <definedName name="IQ_EPS_REPORTED_DET_EST_CURRENCY" hidden="1">"c12464"</definedName>
    <definedName name="IQ_EPS_REPORTED_DET_EST_CURRENCY_THOM" hidden="1">"c12486"</definedName>
    <definedName name="IQ_EPS_REPORTED_DET_EST_DATE" hidden="1">"c12210"</definedName>
    <definedName name="IQ_EPS_REPORTED_DET_EST_DATE_THOM" hidden="1">"c12237"</definedName>
    <definedName name="IQ_EPS_REPORTED_DET_EST_INCL" hidden="1">"c12347"</definedName>
    <definedName name="IQ_EPS_REPORTED_DET_EST_INCL_THOM" hidden="1">"c12369"</definedName>
    <definedName name="IQ_EPS_REPORTED_DET_EST_ORIGIN" hidden="1">"c12772"</definedName>
    <definedName name="IQ_EPS_REPORTED_DET_EST_ORIGIN_THOM" hidden="1">"c13511"</definedName>
    <definedName name="IQ_EPS_REPORTED_DET_EST_THOM" hidden="1">"c12087"</definedName>
    <definedName name="IQ_EPS_REPORTED_EST" hidden="1">"c1744"</definedName>
    <definedName name="IQ_EPS_REPORTED_EST_BOTTOM_UP" hidden="1">"c5492"</definedName>
    <definedName name="IQ_EPS_REPORTED_EST_BOTTOM_UP_CIQ" hidden="1">"c12029"</definedName>
    <definedName name="IQ_EPS_REPORTED_EST_CIQ" hidden="1">"c4730"</definedName>
    <definedName name="IQ_EPS_REPORTED_EST_THOM" hidden="1">"c5140"</definedName>
    <definedName name="IQ_EPS_REPORTED_HIGH_EST" hidden="1">"c1746"</definedName>
    <definedName name="IQ_EPS_REPORTED_HIGH_EST_CIQ" hidden="1">"c4732"</definedName>
    <definedName name="IQ_EPS_REPORTED_HIGH_EST_THOM" hidden="1">"c5142"</definedName>
    <definedName name="IQ_EPS_REPORTED_LOW_EST" hidden="1">"c1747"</definedName>
    <definedName name="IQ_EPS_REPORTED_LOW_EST_CIQ" hidden="1">"c4733"</definedName>
    <definedName name="IQ_EPS_REPORTED_LOW_EST_THOM" hidden="1">"c5143"</definedName>
    <definedName name="IQ_EPS_REPORTED_MEDIAN_EST" hidden="1">"c1745"</definedName>
    <definedName name="IQ_EPS_REPORTED_MEDIAN_EST_CIQ" hidden="1">"c4731"</definedName>
    <definedName name="IQ_EPS_REPORTED_MEDIAN_EST_THOM" hidden="1">"c5141"</definedName>
    <definedName name="IQ_EPS_REPORTED_NUM_EST" hidden="1">"c1748"</definedName>
    <definedName name="IQ_EPS_REPORTED_NUM_EST_CIQ" hidden="1">"c4734"</definedName>
    <definedName name="IQ_EPS_REPORTED_NUM_EST_THOM" hidden="1">"c5144"</definedName>
    <definedName name="IQ_EPS_REPORTED_STDDEV_EST" hidden="1">"c1749"</definedName>
    <definedName name="IQ_EPS_REPORTED_STDDEV_EST_CIQ" hidden="1">"c4735"</definedName>
    <definedName name="IQ_EPS_REPORTED_STDDEV_EST_THOM" hidden="1">"c5145"</definedName>
    <definedName name="IQ_EPS_SBC_ACT_OR_EST" hidden="1">"c4376"</definedName>
    <definedName name="IQ_EPS_SBC_ACT_OR_EST_CIQ" hidden="1">"c4901"</definedName>
    <definedName name="IQ_EPS_SBC_EST" hidden="1">"c4375"</definedName>
    <definedName name="IQ_EPS_SBC_GW_ACT_OR_EST" hidden="1">"c4380"</definedName>
    <definedName name="IQ_EPS_SBC_GW_ACT_OR_EST_CIQ" hidden="1">"c4905"</definedName>
    <definedName name="IQ_EPS_SBC_GW_EST" hidden="1">"c4379"</definedName>
    <definedName name="IQ_EPS_SBC_GW_HIGH_EST" hidden="1">"c4382"</definedName>
    <definedName name="IQ_EPS_SBC_GW_LOW_EST" hidden="1">"c4383"</definedName>
    <definedName name="IQ_EPS_SBC_GW_MEDIAN_EST" hidden="1">"c4384"</definedName>
    <definedName name="IQ_EPS_SBC_GW_NUM_EST" hidden="1">"c4385"</definedName>
    <definedName name="IQ_EPS_SBC_GW_STDDEV_EST" hidden="1">"c4386"</definedName>
    <definedName name="IQ_EPS_SBC_HIGH_EST" hidden="1">"c4388"</definedName>
    <definedName name="IQ_EPS_SBC_LOW_EST" hidden="1">"c4389"</definedName>
    <definedName name="IQ_EPS_SBC_MEDIAN_EST" hidden="1">"c4390"</definedName>
    <definedName name="IQ_EPS_SBC_NUM_EST" hidden="1">"c4391"</definedName>
    <definedName name="IQ_EPS_SBC_STDDEV_EST" hidden="1">"c4392"</definedName>
    <definedName name="IQ_EPS_STDDEV_EST" hidden="1">"c403"</definedName>
    <definedName name="IQ_EPS_STDDEV_EST_CIQ" hidden="1">"c4993"</definedName>
    <definedName name="IQ_EPS_STDDEV_EST_THOM" hidden="1">"c5289"</definedName>
    <definedName name="IQ_EQUITY_AFFIL" hidden="1">"c1451"</definedName>
    <definedName name="IQ_EQUITY_AP" hidden="1">"c8887"</definedName>
    <definedName name="IQ_EQUITY_AP_ABS" hidden="1">"c8906"</definedName>
    <definedName name="IQ_EQUITY_ASSETS_TOT_FFIEC" hidden="1">"c13436"</definedName>
    <definedName name="IQ_EQUITY_BEG_EXCL_FFIEC" hidden="1">"c12957"</definedName>
    <definedName name="IQ_EQUITY_BEG_FFIEC" hidden="1">"c12959"</definedName>
    <definedName name="IQ_EQUITY_CAPITAL_ASSETS_FDIC" hidden="1">"c6744"</definedName>
    <definedName name="IQ_EQUITY_CAPITAL_QUARTERLY_AVG_FFIEC" hidden="1">"c13092"</definedName>
    <definedName name="IQ_EQUITY_ENDING_FFIEC" hidden="1">"c12973"</definedName>
    <definedName name="IQ_EQUITY_FDIC" hidden="1">"c6353"</definedName>
    <definedName name="IQ_EQUITY_INDEX_EXPOSURE_FFIEC" hidden="1">"c13060"</definedName>
    <definedName name="IQ_EQUITY_METHOD" hidden="1">"c404"</definedName>
    <definedName name="IQ_EQUITY_NAME_AP" hidden="1">"c8925"</definedName>
    <definedName name="IQ_EQUITY_NAME_AP_ABS" hidden="1">"c8944"</definedName>
    <definedName name="IQ_EQUITY_SEC_FAIR_VALUE_FFIEC" hidden="1">"c12805"</definedName>
    <definedName name="IQ_EQUITY_SEC_INVEST_SECURITIES_FFIEC" hidden="1">"c13463"</definedName>
    <definedName name="IQ_EQUITY_SECURITIES_FDIC" hidden="1">"c6304"</definedName>
    <definedName name="IQ_EQUITY_SECURITIES_WITHOUT_FAIR_VALUES_FFIEC" hidden="1">"c12846"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OP_DEBT_GUARANTEED_FFIEC" hidden="1">"c12971"</definedName>
    <definedName name="IQ_ESOP_OVER_TOTAL" hidden="1">"c13768"</definedName>
    <definedName name="IQ_EST_ACT_BV" hidden="1">"c5630"</definedName>
    <definedName name="IQ_EST_ACT_BV_SHARE" hidden="1">"c3549"</definedName>
    <definedName name="IQ_EST_ACT_BV_SHARE_THOM" hidden="1">"c4026"</definedName>
    <definedName name="IQ_EST_ACT_CAPEX" hidden="1">"c3546"</definedName>
    <definedName name="IQ_EST_ACT_CAPEX_THOM" hidden="1">"c5508"</definedName>
    <definedName name="IQ_EST_ACT_CASH_EPS" hidden="1">"c5637"</definedName>
    <definedName name="IQ_EST_ACT_CASH_EPS_THOM" hidden="1">"c5645"</definedName>
    <definedName name="IQ_EST_ACT_CASH_FLOW" hidden="1">"c4394"</definedName>
    <definedName name="IQ_EST_ACT_CASH_OPER" hidden="1">"c4395"</definedName>
    <definedName name="IQ_EST_ACT_CFPS" hidden="1">"c1673"</definedName>
    <definedName name="IQ_EST_ACT_CFPS_THOM" hidden="1">"c4012"</definedName>
    <definedName name="IQ_EST_ACT_DISTRIBUTABLE_CASH" hidden="1">"c4396"</definedName>
    <definedName name="IQ_EST_ACT_DISTRIBUTABLE_CASH_SHARE" hidden="1">"c4397"</definedName>
    <definedName name="IQ_EST_ACT_DPS" hidden="1">"c1680"</definedName>
    <definedName name="IQ_EST_ACT_DPS_THOM" hidden="1">"c4019"</definedName>
    <definedName name="IQ_EST_ACT_EBIT" hidden="1">"c1687"</definedName>
    <definedName name="IQ_EST_ACT_EBIT_GW" hidden="1">"c4398"</definedName>
    <definedName name="IQ_EST_ACT_EBIT_SBC" hidden="1">"c4399"</definedName>
    <definedName name="IQ_EST_ACT_EBIT_SBC_GW" hidden="1">"c4400"</definedName>
    <definedName name="IQ_EST_ACT_EBIT_THOM" hidden="1">"c5111"</definedName>
    <definedName name="IQ_EST_ACT_EBITDA" hidden="1">"c1664"</definedName>
    <definedName name="IQ_EST_ACT_EBITDA_CIQ" hidden="1">"c3667"</definedName>
    <definedName name="IQ_EST_ACT_EBITDA_SBC" hidden="1">"c4401"</definedName>
    <definedName name="IQ_EST_ACT_EBITDA_THOM" hidden="1">"c3998"</definedName>
    <definedName name="IQ_EST_ACT_EBT_SBC" hidden="1">"c4402"</definedName>
    <definedName name="IQ_EST_ACT_EBT_SBC_GW" hidden="1">"c4403"</definedName>
    <definedName name="IQ_EST_ACT_EPS" hidden="1">"c1648"</definedName>
    <definedName name="IQ_EST_ACT_EPS_CIQ" hidden="1">"c4998"</definedName>
    <definedName name="IQ_EST_ACT_EPS_GW" hidden="1">"c1743"</definedName>
    <definedName name="IQ_EST_ACT_EPS_GW_CIQ" hidden="1">"c4729"</definedName>
    <definedName name="IQ_EST_ACT_EPS_GW_THOM" hidden="1">"c5139"</definedName>
    <definedName name="IQ_EST_ACT_EPS_NORM" hidden="1">"c2232"</definedName>
    <definedName name="IQ_EST_ACT_EPS_NORM_CIQ" hidden="1">"c4673"</definedName>
    <definedName name="IQ_EST_ACT_EPS_REPORTED" hidden="1">"c1750"</definedName>
    <definedName name="IQ_EST_ACT_EPS_REPORTED_CIQ" hidden="1">"c4736"</definedName>
    <definedName name="IQ_EST_ACT_EPS_REPORTED_THOM" hidden="1">"c5146"</definedName>
    <definedName name="IQ_EST_ACT_EPS_SBC" hidden="1">"c4404"</definedName>
    <definedName name="IQ_EST_ACT_EPS_SBC_GW" hidden="1">"c4405"</definedName>
    <definedName name="IQ_EST_ACT_EPS_THOM" hidden="1">"c5294"</definedName>
    <definedName name="IQ_EST_ACT_FFO" hidden="1">"c4407"</definedName>
    <definedName name="IQ_EST_ACT_FFO_ADJ" hidden="1">"c4406"</definedName>
    <definedName name="IQ_EST_ACT_FFO_SHARE" hidden="1">"c1666"</definedName>
    <definedName name="IQ_EST_ACT_FFO_SHARE_THOM" hidden="1">"c4005"</definedName>
    <definedName name="IQ_EST_ACT_GROSS_MARGIN" hidden="1">"c5553"</definedName>
    <definedName name="IQ_EST_ACT_GROSS_MARGIN_THOM" hidden="1">"c5561"</definedName>
    <definedName name="IQ_EST_ACT_MAINT_CAPEX" hidden="1">"c4408"</definedName>
    <definedName name="IQ_EST_ACT_NAV" hidden="1">"c1757"</definedName>
    <definedName name="IQ_EST_ACT_NAV_SHARE" hidden="1">"c5608"</definedName>
    <definedName name="IQ_EST_ACT_NAV_THOM" hidden="1">"c5600"</definedName>
    <definedName name="IQ_EST_ACT_NET_DEBT" hidden="1">"c3545"</definedName>
    <definedName name="IQ_EST_ACT_NET_DEBT_THOM" hidden="1">"c4033"</definedName>
    <definedName name="IQ_EST_ACT_NI" hidden="1">"c1722"</definedName>
    <definedName name="IQ_EST_ACT_NI_GW" hidden="1">"c1729"</definedName>
    <definedName name="IQ_EST_ACT_NI_REPORTED" hidden="1">"c1736"</definedName>
    <definedName name="IQ_EST_ACT_NI_SBC" hidden="1">"c4409"</definedName>
    <definedName name="IQ_EST_ACT_NI_SBC_GW" hidden="1">"c4410"</definedName>
    <definedName name="IQ_EST_ACT_NI_THOM" hidden="1">"c5132"</definedName>
    <definedName name="IQ_EST_ACT_OPER_INC" hidden="1">"c1694"</definedName>
    <definedName name="IQ_EST_ACT_OPER_INC_THOM" hidden="1">"c5118"</definedName>
    <definedName name="IQ_EST_ACT_PRETAX_GW_INC" hidden="1">"c1708"</definedName>
    <definedName name="IQ_EST_ACT_PRETAX_INC" hidden="1">"c1701"</definedName>
    <definedName name="IQ_EST_ACT_PRETAX_INC_THOM" hidden="1">"c5125"</definedName>
    <definedName name="IQ_EST_ACT_PRETAX_REPORT_INC" hidden="1">"c1715"</definedName>
    <definedName name="IQ_EST_ACT_RECURRING_PROFIT" hidden="1">"c4411"</definedName>
    <definedName name="IQ_EST_ACT_RECURRING_PROFIT_SHARE" hidden="1">"c4412"</definedName>
    <definedName name="IQ_EST_ACT_RETURN_ASSETS" hidden="1">"c3547"</definedName>
    <definedName name="IQ_EST_ACT_RETURN_ASSETS_THOM" hidden="1">"c4040"</definedName>
    <definedName name="IQ_EST_ACT_RETURN_EQUITY" hidden="1">"c3548"</definedName>
    <definedName name="IQ_EST_ACT_RETURN_EQUITY_THOM" hidden="1">"c5287"</definedName>
    <definedName name="IQ_EST_ACT_REV" hidden="1">"c2113"</definedName>
    <definedName name="IQ_EST_ACT_REV_CIQ" hidden="1">"c3666"</definedName>
    <definedName name="IQ_EST_ACT_REV_THOM" hidden="1">"c3997"</definedName>
    <definedName name="IQ_EST_BV_SHARE_DIFF" hidden="1">"c4147"</definedName>
    <definedName name="IQ_EST_BV_SHARE_SURPRISE_PERCENT" hidden="1">"c4148"</definedName>
    <definedName name="IQ_EST_CAPEX_DIFF" hidden="1">"c4149"</definedName>
    <definedName name="IQ_EST_CAPEX_GROWTH_1YR" hidden="1">"c3588"</definedName>
    <definedName name="IQ_EST_CAPEX_GROWTH_1YR_THOM" hidden="1">"c5542"</definedName>
    <definedName name="IQ_EST_CAPEX_GROWTH_2YR" hidden="1">"c3589"</definedName>
    <definedName name="IQ_EST_CAPEX_GROWTH_2YR_THOM" hidden="1">"c5543"</definedName>
    <definedName name="IQ_EST_CAPEX_GROWTH_Q_1YR" hidden="1">"c3590"</definedName>
    <definedName name="IQ_EST_CAPEX_GROWTH_Q_1YR_THOM" hidden="1">"c5544"</definedName>
    <definedName name="IQ_EST_CAPEX_SEQ_GROWTH_Q" hidden="1">"c3591"</definedName>
    <definedName name="IQ_EST_CAPEX_SEQ_GROWTH_Q_THOM" hidden="1">"c5545"</definedName>
    <definedName name="IQ_EST_CAPEX_SURPRISE_PERCENT" hidden="1">"c4151"</definedName>
    <definedName name="IQ_EST_CASH_FLOW_DIFF" hidden="1">"c4152"</definedName>
    <definedName name="IQ_EST_CASH_FLOW_SURPRISE_PERCENT" hidden="1">"c4161"</definedName>
    <definedName name="IQ_EST_CASH_OPER_DIFF" hidden="1">"c4162"</definedName>
    <definedName name="IQ_EST_CASH_OPER_SURPRISE_PERCENT" hidden="1">"c4248"</definedName>
    <definedName name="IQ_EST_CFPS_DIFF" hidden="1">"c1871"</definedName>
    <definedName name="IQ_EST_CFPS_DIFF_THOM" hidden="1">"c5188"</definedName>
    <definedName name="IQ_EST_CFPS_GROWTH_1YR" hidden="1">"c1774"</definedName>
    <definedName name="IQ_EST_CFPS_GROWTH_1YR_THOM" hidden="1">"c5174"</definedName>
    <definedName name="IQ_EST_CFPS_GROWTH_2YR" hidden="1">"c1775"</definedName>
    <definedName name="IQ_EST_CFPS_GROWTH_2YR_THOM" hidden="1">"c5175"</definedName>
    <definedName name="IQ_EST_CFPS_GROWTH_Q_1YR" hidden="1">"c1776"</definedName>
    <definedName name="IQ_EST_CFPS_GROWTH_Q_1YR_THOM" hidden="1">"c5176"</definedName>
    <definedName name="IQ_EST_CFPS_SEQ_GROWTH_Q" hidden="1">"c1777"</definedName>
    <definedName name="IQ_EST_CFPS_SEQ_GROWTH_Q_THOM" hidden="1">"c5177"</definedName>
    <definedName name="IQ_EST_CFPS_SURPRISE_PERCENT" hidden="1">"c1872"</definedName>
    <definedName name="IQ_EST_CFPS_SURPRISE_PERCENT_THOM" hidden="1">"c5189"</definedName>
    <definedName name="IQ_EST_CURRENCY" hidden="1">"c2140"</definedName>
    <definedName name="IQ_EST_CURRENCY_CIQ" hidden="1">"c4769"</definedName>
    <definedName name="IQ_EST_CURRENCY_THOM" hidden="1">"c5280"</definedName>
    <definedName name="IQ_EST_DATE" hidden="1">"c1634"</definedName>
    <definedName name="IQ_EST_DATE_CIQ" hidden="1">"c4770"</definedName>
    <definedName name="IQ_EST_DATE_THOM" hidden="1">"c5281"</definedName>
    <definedName name="IQ_EST_DISTRIBUTABLE_CASH_DIFF" hidden="1">"c4276"</definedName>
    <definedName name="IQ_EST_DISTRIBUTABLE_CASH_GROWTH_1YR" hidden="1">"c4413"</definedName>
    <definedName name="IQ_EST_DISTRIBUTABLE_CASH_GROWTH_2YR" hidden="1">"c4414"</definedName>
    <definedName name="IQ_EST_DISTRIBUTABLE_CASH_GROWTH_Q_1YR" hidden="1">"c4415"</definedName>
    <definedName name="IQ_EST_DISTRIBUTABLE_CASH_SEQ_GROWTH_Q" hidden="1">"c4416"</definedName>
    <definedName name="IQ_EST_DISTRIBUTABLE_CASH_SHARE_DIFF" hidden="1">"c4284"</definedName>
    <definedName name="IQ_EST_DISTRIBUTABLE_CASH_SHARE_GROWTH_1YR" hidden="1">"c4417"</definedName>
    <definedName name="IQ_EST_DISTRIBUTABLE_CASH_SHARE_GROWTH_2YR" hidden="1">"c4418"</definedName>
    <definedName name="IQ_EST_DISTRIBUTABLE_CASH_SHARE_GROWTH_Q_1YR" hidden="1">"c4419"</definedName>
    <definedName name="IQ_EST_DISTRIBUTABLE_CASH_SHARE_SEQ_GROWTH_Q" hidden="1">"c4420"</definedName>
    <definedName name="IQ_EST_DISTRIBUTABLE_CASH_SHARE_SURPRISE_PERCENT" hidden="1">"c4293"</definedName>
    <definedName name="IQ_EST_DISTRIBUTABLE_CASH_SURPRISE_PERCENT" hidden="1">"c4295"</definedName>
    <definedName name="IQ_EST_DPS_DIFF" hidden="1">"c1873"</definedName>
    <definedName name="IQ_EST_DPS_DIFF_THOM" hidden="1">"c5190"</definedName>
    <definedName name="IQ_EST_DPS_GROWTH_1YR" hidden="1">"c1778"</definedName>
    <definedName name="IQ_EST_DPS_GROWTH_1YR_THOM" hidden="1">"c5178"</definedName>
    <definedName name="IQ_EST_DPS_GROWTH_2YR" hidden="1">"c1779"</definedName>
    <definedName name="IQ_EST_DPS_GROWTH_2YR_THOM" hidden="1">"c5179"</definedName>
    <definedName name="IQ_EST_DPS_GROWTH_Q_1YR" hidden="1">"c1780"</definedName>
    <definedName name="IQ_EST_DPS_GROWTH_Q_1YR_THOM" hidden="1">"c5180"</definedName>
    <definedName name="IQ_EST_DPS_SEQ_GROWTH_Q" hidden="1">"c1781"</definedName>
    <definedName name="IQ_EST_DPS_SEQ_GROWTH_Q_THOM" hidden="1">"c5181"</definedName>
    <definedName name="IQ_EST_DPS_SURPRISE_PERCENT" hidden="1">"c1874"</definedName>
    <definedName name="IQ_EST_DPS_SURPRISE_PERCENT_THOM" hidden="1">"c5191"</definedName>
    <definedName name="IQ_EST_EBIT_DIFF" hidden="1">"c1875"</definedName>
    <definedName name="IQ_EST_EBIT_DIFF_THOM" hidden="1">"c5192"</definedName>
    <definedName name="IQ_EST_EBIT_GW_DIFF" hidden="1">"c4304"</definedName>
    <definedName name="IQ_EST_EBIT_GW_SURPRISE_PERCENT" hidden="1">"c4313"</definedName>
    <definedName name="IQ_EST_EBIT_SBC_DIFF" hidden="1">"c4314"</definedName>
    <definedName name="IQ_EST_EBIT_SBC_GW_DIFF" hidden="1">"c4318"</definedName>
    <definedName name="IQ_EST_EBIT_SBC_GW_SURPRISE_PERCENT" hidden="1">"c4327"</definedName>
    <definedName name="IQ_EST_EBIT_SBC_SURPRISE_PERCENT" hidden="1">"c4333"</definedName>
    <definedName name="IQ_EST_EBIT_SURPRISE_PERCENT" hidden="1">"c1876"</definedName>
    <definedName name="IQ_EST_EBIT_SURPRISE_PERCENT_THOM" hidden="1">"c5193"</definedName>
    <definedName name="IQ_EST_EBITDA_DIFF" hidden="1">"c1867"</definedName>
    <definedName name="IQ_EST_EBITDA_DIFF_CIQ" hidden="1">"c3719"</definedName>
    <definedName name="IQ_EST_EBITDA_DIFF_THOM" hidden="1">"c5184"</definedName>
    <definedName name="IQ_EST_EBITDA_GROWTH_1YR" hidden="1">"c1766"</definedName>
    <definedName name="IQ_EST_EBITDA_GROWTH_1YR_CIQ" hidden="1">"c3695"</definedName>
    <definedName name="IQ_EST_EBITDA_GROWTH_1YR_THOM" hidden="1">"c5161"</definedName>
    <definedName name="IQ_EST_EBITDA_GROWTH_2YR" hidden="1">"c1767"</definedName>
    <definedName name="IQ_EST_EBITDA_GROWTH_2YR_CIQ" hidden="1">"c3696"</definedName>
    <definedName name="IQ_EST_EBITDA_GROWTH_2YR_THOM" hidden="1">"c5162"</definedName>
    <definedName name="IQ_EST_EBITDA_GROWTH_Q_1YR" hidden="1">"c1768"</definedName>
    <definedName name="IQ_EST_EBITDA_GROWTH_Q_1YR_CIQ" hidden="1">"c3697"</definedName>
    <definedName name="IQ_EST_EBITDA_GROWTH_Q_1YR_THOM" hidden="1">"c5163"</definedName>
    <definedName name="IQ_EST_EBITDA_SBC_DIFF" hidden="1">"c4335"</definedName>
    <definedName name="IQ_EST_EBITDA_SBC_SURPRISE_PERCENT" hidden="1">"c4344"</definedName>
    <definedName name="IQ_EST_EBITDA_SEQ_GROWTH_Q" hidden="1">"c1769"</definedName>
    <definedName name="IQ_EST_EBITDA_SEQ_GROWTH_Q_CIQ" hidden="1">"c3698"</definedName>
    <definedName name="IQ_EST_EBITDA_SEQ_GROWTH_Q_THOM" hidden="1">"c5164"</definedName>
    <definedName name="IQ_EST_EBITDA_SURPRISE_PERCENT" hidden="1">"c1868"</definedName>
    <definedName name="IQ_EST_EBITDA_SURPRISE_PERCENT_CIQ" hidden="1">"c3720"</definedName>
    <definedName name="IQ_EST_EBITDA_SURPRISE_PERCENT_THOM" hidden="1">"c5185"</definedName>
    <definedName name="IQ_EST_EBT_SBC_DIFF" hidden="1">"c4348"</definedName>
    <definedName name="IQ_EST_EBT_SBC_GW_DIFF" hidden="1">"c4352"</definedName>
    <definedName name="IQ_EST_EBT_SBC_GW_SURPRISE_PERCENT" hidden="1">"c4361"</definedName>
    <definedName name="IQ_EST_EBT_SBC_SURPRISE_PERCENT" hidden="1">"c4367"</definedName>
    <definedName name="IQ_EST_EPS_DIFF" hidden="1">"c1864"</definedName>
    <definedName name="IQ_EST_EPS_DIFF_CIQ" hidden="1">"c4999"</definedName>
    <definedName name="IQ_EST_EPS_DIFF_THOM" hidden="1">"c5295"</definedName>
    <definedName name="IQ_EST_EPS_GROWTH_1YR" hidden="1">"c1636"</definedName>
    <definedName name="IQ_EST_EPS_GROWTH_1YR_CIQ" hidden="1">"c3628"</definedName>
    <definedName name="IQ_EST_EPS_GROWTH_1YR_THOM" hidden="1">"c3664"</definedName>
    <definedName name="IQ_EST_EPS_GROWTH_2YR" hidden="1">"c1637"</definedName>
    <definedName name="IQ_EST_EPS_GROWTH_2YR_CIQ" hidden="1">"c3689"</definedName>
    <definedName name="IQ_EST_EPS_GROWTH_2YR_THOM" hidden="1">"c5154"</definedName>
    <definedName name="IQ_EST_EPS_GROWTH_5YR" hidden="1">"c1655"</definedName>
    <definedName name="IQ_EST_EPS_GROWTH_5YR_BOTTOM_UP" hidden="1">"c5487"</definedName>
    <definedName name="IQ_EST_EPS_GROWTH_5YR_BOTTOM_UP_CIQ" hidden="1">"c12024"</definedName>
    <definedName name="IQ_EST_EPS_GROWTH_5YR_CIQ" hidden="1">"c3615"</definedName>
    <definedName name="IQ_EST_EPS_GROWTH_5YR_HIGH" hidden="1">"c1657"</definedName>
    <definedName name="IQ_EST_EPS_GROWTH_5YR_HIGH_CIQ" hidden="1">"c4663"</definedName>
    <definedName name="IQ_EST_EPS_GROWTH_5YR_HIGH_THOM" hidden="1">"c5101"</definedName>
    <definedName name="IQ_EST_EPS_GROWTH_5YR_LOW" hidden="1">"c1658"</definedName>
    <definedName name="IQ_EST_EPS_GROWTH_5YR_LOW_CIQ" hidden="1">"c4664"</definedName>
    <definedName name="IQ_EST_EPS_GROWTH_5YR_LOW_THOM" hidden="1">"c5102"</definedName>
    <definedName name="IQ_EST_EPS_GROWTH_5YR_MEDIAN" hidden="1">"c1656"</definedName>
    <definedName name="IQ_EST_EPS_GROWTH_5YR_MEDIAN_CIQ" hidden="1">"c5480"</definedName>
    <definedName name="IQ_EST_EPS_GROWTH_5YR_MEDIAN_THOM" hidden="1">"c5100"</definedName>
    <definedName name="IQ_EST_EPS_GROWTH_5YR_NUM" hidden="1">"c1659"</definedName>
    <definedName name="IQ_EST_EPS_GROWTH_5YR_NUM_CIQ" hidden="1">"c4665"</definedName>
    <definedName name="IQ_EST_EPS_GROWTH_5YR_NUM_THOM" hidden="1">"c5103"</definedName>
    <definedName name="IQ_EST_EPS_GROWTH_5YR_STDDEV" hidden="1">"c1660"</definedName>
    <definedName name="IQ_EST_EPS_GROWTH_5YR_STDDEV_CIQ" hidden="1">"c4666"</definedName>
    <definedName name="IQ_EST_EPS_GROWTH_5YR_STDDEV_THOM" hidden="1">"c5104"</definedName>
    <definedName name="IQ_EST_EPS_GROWTH_5YR_THOM" hidden="1">"c3651"</definedName>
    <definedName name="IQ_EST_EPS_GROWTH_Q_1YR" hidden="1">"c1641"</definedName>
    <definedName name="IQ_EST_EPS_GROWTH_Q_1YR_CIQ" hidden="1">"c4744"</definedName>
    <definedName name="IQ_EST_EPS_GROWTH_Q_1YR_THOM" hidden="1">"c5155"</definedName>
    <definedName name="IQ_EST_EPS_GW_DIFF" hidden="1">"c1891"</definedName>
    <definedName name="IQ_EST_EPS_GW_DIFF_CIQ" hidden="1">"c4761"</definedName>
    <definedName name="IQ_EST_EPS_GW_DIFF_THOM" hidden="1">"c5200"</definedName>
    <definedName name="IQ_EST_EPS_GW_SURPRISE_PERCENT" hidden="1">"c1892"</definedName>
    <definedName name="IQ_EST_EPS_GW_SURPRISE_PERCENT_CIQ" hidden="1">"c4762"</definedName>
    <definedName name="IQ_EST_EPS_GW_SURPRISE_PERCENT_THOM" hidden="1">"c5201"</definedName>
    <definedName name="IQ_EST_EPS_NORM_DIFF" hidden="1">"c2247"</definedName>
    <definedName name="IQ_EST_EPS_NORM_DIFF_CIQ" hidden="1">"c4745"</definedName>
    <definedName name="IQ_EST_EPS_NORM_SURPRISE_PERCENT" hidden="1">"c2248"</definedName>
    <definedName name="IQ_EST_EPS_NORM_SURPRISE_PERCENT_CIQ" hidden="1">"c4746"</definedName>
    <definedName name="IQ_EST_EPS_REPORT_DIFF" hidden="1">"c1893"</definedName>
    <definedName name="IQ_EST_EPS_REPORT_DIFF_CIQ" hidden="1">"c4763"</definedName>
    <definedName name="IQ_EST_EPS_REPORT_DIFF_THOM" hidden="1">"c5202"</definedName>
    <definedName name="IQ_EST_EPS_REPORT_SURPRISE_PERCENT" hidden="1">"c1894"</definedName>
    <definedName name="IQ_EST_EPS_REPORT_SURPRISE_PERCENT_CIQ" hidden="1">"c4764"</definedName>
    <definedName name="IQ_EST_EPS_REPORT_SURPRISE_PERCENT_THOM" hidden="1">"c5203"</definedName>
    <definedName name="IQ_EST_EPS_SBC_DIFF" hidden="1">"c4374"</definedName>
    <definedName name="IQ_EST_EPS_SBC_GW_DIFF" hidden="1">"c4378"</definedName>
    <definedName name="IQ_EST_EPS_SBC_GW_SURPRISE_PERCENT" hidden="1">"c4387"</definedName>
    <definedName name="IQ_EST_EPS_SBC_SURPRISE_PERCENT" hidden="1">"c4393"</definedName>
    <definedName name="IQ_EST_EPS_SEQ_GROWTH_Q" hidden="1">"c1764"</definedName>
    <definedName name="IQ_EST_EPS_SEQ_GROWTH_Q_CIQ" hidden="1">"c3690"</definedName>
    <definedName name="IQ_EST_EPS_SEQ_GROWTH_Q_THOM" hidden="1">"c5156"</definedName>
    <definedName name="IQ_EST_EPS_SURPRISE_PERCENT" hidden="1">"c1635"</definedName>
    <definedName name="IQ_EST_EPS_SURPRISE_PERCENT_CIQ" hidden="1">"c5000"</definedName>
    <definedName name="IQ_EST_EPS_SURPRISE_PERCENT_THOM" hidden="1">"c5296"</definedName>
    <definedName name="IQ_EST_FAIR_VALUE_MORT_SERVICING_ASSETS_FFIEC" hidden="1">"c12956"</definedName>
    <definedName name="IQ_EST_FFO_ADJ_DIFF" hidden="1">"c4433"</definedName>
    <definedName name="IQ_EST_FFO_ADJ_GROWTH_1YR" hidden="1">"c4421"</definedName>
    <definedName name="IQ_EST_FFO_ADJ_GROWTH_2YR" hidden="1">"c4422"</definedName>
    <definedName name="IQ_EST_FFO_ADJ_GROWTH_Q_1YR" hidden="1">"c4423"</definedName>
    <definedName name="IQ_EST_FFO_ADJ_SEQ_GROWTH_Q" hidden="1">"c4424"</definedName>
    <definedName name="IQ_EST_FFO_ADJ_SURPRISE_PERCENT" hidden="1">"c4442"</definedName>
    <definedName name="IQ_EST_FFO_DIFF" hidden="1">"c4444"</definedName>
    <definedName name="IQ_EST_FFO_GROWTH_1YR" hidden="1">"c4425"</definedName>
    <definedName name="IQ_EST_FFO_GROWTH_1YR_THOM" hidden="1">"c5170"</definedName>
    <definedName name="IQ_EST_FFO_GROWTH_2YR" hidden="1">"c4426"</definedName>
    <definedName name="IQ_EST_FFO_GROWTH_2YR_THOM" hidden="1">"c5171"</definedName>
    <definedName name="IQ_EST_FFO_GROWTH_Q_1YR" hidden="1">"c4427"</definedName>
    <definedName name="IQ_EST_FFO_GROWTH_Q_1YR_THOM" hidden="1">"c5172"</definedName>
    <definedName name="IQ_EST_FFO_SEQ_GROWTH_Q" hidden="1">"c4428"</definedName>
    <definedName name="IQ_EST_FFO_SEQ_GROWTH_Q_THOM" hidden="1">"c5173"</definedName>
    <definedName name="IQ_EST_FFO_SHARE_DIFF" hidden="1">"c1869"</definedName>
    <definedName name="IQ_EST_FFO_SHARE_DIFF_THOM" hidden="1">"c5186"</definedName>
    <definedName name="IQ_EST_FFO_SHARE_GROWTH_1YR" hidden="1">"c1770"</definedName>
    <definedName name="IQ_EST_FFO_SHARE_GROWTH_2YR" hidden="1">"c1771"</definedName>
    <definedName name="IQ_EST_FFO_SHARE_GROWTH_Q_1YR" hidden="1">"c1772"</definedName>
    <definedName name="IQ_EST_FFO_SHARE_SEQ_GROWTH_Q" hidden="1">"c1773"</definedName>
    <definedName name="IQ_EST_FFO_SHARE_SURPRISE_PERCENT" hidden="1">"c1870"</definedName>
    <definedName name="IQ_EST_FFO_SHARE_SURPRISE_PERCENT_THOM" hidden="1">"c5187"</definedName>
    <definedName name="IQ_EST_FFO_SURPRISE_PERCENT" hidden="1">"c4453"</definedName>
    <definedName name="IQ_EST_FOOTNOTE" hidden="1">"c4540"</definedName>
    <definedName name="IQ_EST_FOOTNOTE_CIQ" hidden="1">"c12022"</definedName>
    <definedName name="IQ_EST_FOOTNOTE_THOM" hidden="1">"c5313"</definedName>
    <definedName name="IQ_EST_MAINT_CAPEX_DIFF" hidden="1">"c4456"</definedName>
    <definedName name="IQ_EST_MAINT_CAPEX_GROWTH_1YR" hidden="1">"c4429"</definedName>
    <definedName name="IQ_EST_MAINT_CAPEX_GROWTH_2YR" hidden="1">"c4430"</definedName>
    <definedName name="IQ_EST_MAINT_CAPEX_GROWTH_Q_1YR" hidden="1">"c4431"</definedName>
    <definedName name="IQ_EST_MAINT_CAPEX_SEQ_GROWTH_Q" hidden="1">"c4432"</definedName>
    <definedName name="IQ_EST_MAINT_CAPEX_SURPRISE_PERCENT" hidden="1">"c4465"</definedName>
    <definedName name="IQ_EST_NAV_DIFF" hidden="1">"c1895"</definedName>
    <definedName name="IQ_EST_NAV_SHARE_SURPRISE_PERCENT" hidden="1">"c1896"</definedName>
    <definedName name="IQ_EST_NAV_SURPRISE_PERCENT" hidden="1">"c12040"</definedName>
    <definedName name="IQ_EST_NET_DEBT_DIFF" hidden="1">"c4466"</definedName>
    <definedName name="IQ_EST_NET_DEBT_SURPRISE_PERCENT" hidden="1">"c4468"</definedName>
    <definedName name="IQ_EST_NEXT_EARNINGS_DATE" hidden="1">"c13591"</definedName>
    <definedName name="IQ_EST_NI_DIFF" hidden="1">"c1885"</definedName>
    <definedName name="IQ_EST_NI_DIFF_THOM" hidden="1">"c5198"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BC_DIFF" hidden="1">"c4472"</definedName>
    <definedName name="IQ_EST_NI_SBC_GW_DIFF" hidden="1">"c4476"</definedName>
    <definedName name="IQ_EST_NI_SBC_GW_SURPRISE_PERCENT" hidden="1">"c4485"</definedName>
    <definedName name="IQ_EST_NI_SBC_SURPRISE_PERCENT" hidden="1">"c4491"</definedName>
    <definedName name="IQ_EST_NI_SURPRISE_PERCENT" hidden="1">"c1886"</definedName>
    <definedName name="IQ_EST_NI_SURPRISE_PERCENT_THOM" hidden="1">"c5199"</definedName>
    <definedName name="IQ_EST_NUM_BUY" hidden="1">"c1759"</definedName>
    <definedName name="IQ_EST_NUM_HIGH_REC" hidden="1">"c5649"</definedName>
    <definedName name="IQ_EST_NUM_HIGH_REC_CIQ" hidden="1">"c3701"</definedName>
    <definedName name="IQ_EST_NUM_HIGH_REC_THOM" hidden="1">"c5166"</definedName>
    <definedName name="IQ_EST_NUM_HIGHEST_REC" hidden="1">"c5648"</definedName>
    <definedName name="IQ_EST_NUM_HIGHEST_REC_CIQ" hidden="1">"c3700"</definedName>
    <definedName name="IQ_EST_NUM_HIGHEST_REC_THOM" hidden="1">"c5165"</definedName>
    <definedName name="IQ_EST_NUM_HOLD" hidden="1">"c1761"</definedName>
    <definedName name="IQ_EST_NUM_LOW_REC" hidden="1">"c5651"</definedName>
    <definedName name="IQ_EST_NUM_LOW_REC_CIQ" hidden="1">"c3703"</definedName>
    <definedName name="IQ_EST_NUM_LOW_REC_THOM" hidden="1">"c5168"</definedName>
    <definedName name="IQ_EST_NUM_LOWEST_REC" hidden="1">"c5652"</definedName>
    <definedName name="IQ_EST_NUM_LOWEST_REC_CIQ" hidden="1">"c3704"</definedName>
    <definedName name="IQ_EST_NUM_LOWEST_REC_THOM" hidden="1">"c5169"</definedName>
    <definedName name="IQ_EST_NUM_NEUTRAL_REC" hidden="1">"c5650"</definedName>
    <definedName name="IQ_EST_NUM_NEUTRAL_REC_CIQ" hidden="1">"c3702"</definedName>
    <definedName name="IQ_EST_NUM_NEUTRAL_REC_THOM" hidden="1">"c5167"</definedName>
    <definedName name="IQ_EST_NUM_NO_OPINION" hidden="1">"c1758"</definedName>
    <definedName name="IQ_EST_NUM_NO_OPINION_CIQ" hidden="1">"c3699"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DIFF_THOM" hidden="1">"c5194"</definedName>
    <definedName name="IQ_EST_OPER_INC_SURPRISE_PERCENT" hidden="1">"c1878"</definedName>
    <definedName name="IQ_EST_OPER_INC_SURPRISE_PERCENT_THOM" hidden="1">"c5195"</definedName>
    <definedName name="IQ_EST_PRE_TAX_DIFF" hidden="1">"c1879"</definedName>
    <definedName name="IQ_EST_PRE_TAX_DIFF_THOM" hidden="1">"c5196"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PRE_TAX_SURPRISE_PERCENT_THOM" hidden="1">"c5197"</definedName>
    <definedName name="IQ_EST_RECURRING_PROFIT_SHARE_DIFF" hidden="1">"c4505"</definedName>
    <definedName name="IQ_EST_RECURRING_PROFIT_SHARE_SURPRISE_PERCENT" hidden="1">"c4515"</definedName>
    <definedName name="IQ_EST_REV_DIFF" hidden="1">"c1865"</definedName>
    <definedName name="IQ_EST_REV_DIFF_CIQ" hidden="1">"c3717"</definedName>
    <definedName name="IQ_EST_REV_DIFF_THOM" hidden="1">"c5182"</definedName>
    <definedName name="IQ_EST_REV_GROWTH_1YR" hidden="1">"c1638"</definedName>
    <definedName name="IQ_EST_REV_GROWTH_1YR_CIQ" hidden="1">"c3691"</definedName>
    <definedName name="IQ_EST_REV_GROWTH_1YR_THOM" hidden="1">"c5157"</definedName>
    <definedName name="IQ_EST_REV_GROWTH_2YR" hidden="1">"c1639"</definedName>
    <definedName name="IQ_EST_REV_GROWTH_2YR_CIQ" hidden="1">"c3692"</definedName>
    <definedName name="IQ_EST_REV_GROWTH_2YR_THOM" hidden="1">"c5158"</definedName>
    <definedName name="IQ_EST_REV_GROWTH_Q_1YR" hidden="1">"c1640"</definedName>
    <definedName name="IQ_EST_REV_GROWTH_Q_1YR_CIQ" hidden="1">"c3693"</definedName>
    <definedName name="IQ_EST_REV_GROWTH_Q_1YR_THOM" hidden="1">"c5159"</definedName>
    <definedName name="IQ_EST_REV_SEQ_GROWTH_Q" hidden="1">"c1765"</definedName>
    <definedName name="IQ_EST_REV_SEQ_GROWTH_Q_CIQ" hidden="1">"c3694"</definedName>
    <definedName name="IQ_EST_REV_SEQ_GROWTH_Q_THOM" hidden="1">"c5160"</definedName>
    <definedName name="IQ_EST_REV_SURPRISE_PERCENT" hidden="1">"c1866"</definedName>
    <definedName name="IQ_EST_REV_SURPRISE_PERCENT_CIQ" hidden="1">"c3718"</definedName>
    <definedName name="IQ_EST_REV_SURPRISE_PERCENT_THOM" hidden="1">"c5183"</definedName>
    <definedName name="IQ_EST_VENDOR" hidden="1">"c5564"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VENT_DATE" hidden="1">"c13819"</definedName>
    <definedName name="IQ_EVENT_ID" hidden="1">"c13818"</definedName>
    <definedName name="IQ_EVENT_TIME" hidden="1">"c13820"</definedName>
    <definedName name="IQ_EVENT_TYPE" hidden="1">"c13821"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S_AP" hidden="1">"c8875"</definedName>
    <definedName name="IQ_EXPENSES_AP_ABS" hidden="1">"c8894"</definedName>
    <definedName name="IQ_EXPENSES_FIXED_ASSETS_FFIEC" hidden="1">"c13024"</definedName>
    <definedName name="IQ_EXPENSES_NAME_AP" hidden="1">"c8913"</definedName>
    <definedName name="IQ_EXPENSES_NAME_AP_ABS" hidden="1">"c8932"</definedName>
    <definedName name="IQ_EXPLORATION_EXPENDITURE_ALUM" hidden="1">"c9255"</definedName>
    <definedName name="IQ_EXPLORATION_EXPENDITURE_COAL" hidden="1">"c9827"</definedName>
    <definedName name="IQ_EXPLORATION_EXPENDITURE_COP" hidden="1">"c9202"</definedName>
    <definedName name="IQ_EXPLORATION_EXPENDITURE_DIAM" hidden="1">"c9679"</definedName>
    <definedName name="IQ_EXPLORATION_EXPENDITURE_GOLD" hidden="1">"c9040"</definedName>
    <definedName name="IQ_EXPLORATION_EXPENDITURE_IRON" hidden="1">"c9414"</definedName>
    <definedName name="IQ_EXPLORATION_EXPENDITURE_LEAD" hidden="1">"c9467"</definedName>
    <definedName name="IQ_EXPLORATION_EXPENDITURE_MANG" hidden="1">"c9520"</definedName>
    <definedName name="IQ_EXPLORATION_EXPENDITURE_MOLYB" hidden="1">"c9732"</definedName>
    <definedName name="IQ_EXPLORATION_EXPENDITURE_NICK" hidden="1">"c9308"</definedName>
    <definedName name="IQ_EXPLORATION_EXPENDITURE_PLAT" hidden="1">"c9146"</definedName>
    <definedName name="IQ_EXPLORATION_EXPENDITURE_SILVER" hidden="1">"c9093"</definedName>
    <definedName name="IQ_EXPLORATION_EXPENDITURE_TITAN" hidden="1">"c9573"</definedName>
    <definedName name="IQ_EXPLORATION_EXPENDITURE_URAN" hidden="1">"c9626"</definedName>
    <definedName name="IQ_EXPLORATION_EXPENDITURE_ZINC" hidden="1">"c9361"</definedName>
    <definedName name="IQ_EXPLORE_DRILL" hidden="1">"c409"</definedName>
    <definedName name="IQ_EXPLORE_DRILL_EXP_TOTAL" hidden="1">"c13850"</definedName>
    <definedName name="IQ_EXPORT_PRICE_INDEX" hidden="1">"c6860"</definedName>
    <definedName name="IQ_EXPORT_PRICE_INDEX_APR" hidden="1">"c7520"</definedName>
    <definedName name="IQ_EXPORT_PRICE_INDEX_APR_FC" hidden="1">"c8400"</definedName>
    <definedName name="IQ_EXPORT_PRICE_INDEX_FC" hidden="1">"c7740"</definedName>
    <definedName name="IQ_EXPORT_PRICE_INDEX_POP" hidden="1">"c7080"</definedName>
    <definedName name="IQ_EXPORT_PRICE_INDEX_POP_FC" hidden="1">"c7960"</definedName>
    <definedName name="IQ_EXPORT_PRICE_INDEX_YOY" hidden="1">"c7300"</definedName>
    <definedName name="IQ_EXPORT_PRICE_INDEX_YOY_FC" hidden="1">"c8180"</definedName>
    <definedName name="IQ_EXPORTS_APR_FC_UNUSED" hidden="1">"c8401"</definedName>
    <definedName name="IQ_EXPORTS_APR_UNUSED" hidden="1">"c7521"</definedName>
    <definedName name="IQ_EXPORTS_FACTOR_SERVICES" hidden="1">"c6862"</definedName>
    <definedName name="IQ_EXPORTS_FACTOR_SERVICES_APR" hidden="1">"c7522"</definedName>
    <definedName name="IQ_EXPORTS_FACTOR_SERVICES_APR_FC" hidden="1">"c8402"</definedName>
    <definedName name="IQ_EXPORTS_FACTOR_SERVICES_FC" hidden="1">"c7742"</definedName>
    <definedName name="IQ_EXPORTS_FACTOR_SERVICES_POP" hidden="1">"c7082"</definedName>
    <definedName name="IQ_EXPORTS_FACTOR_SERVICES_POP_FC" hidden="1">"c7962"</definedName>
    <definedName name="IQ_EXPORTS_FACTOR_SERVICES_SAAR" hidden="1">"c6863"</definedName>
    <definedName name="IQ_EXPORTS_FACTOR_SERVICES_SAAR_APR" hidden="1">"c7523"</definedName>
    <definedName name="IQ_EXPORTS_FACTOR_SERVICES_SAAR_APR_FC" hidden="1">"c8403"</definedName>
    <definedName name="IQ_EXPORTS_FACTOR_SERVICES_SAAR_FC" hidden="1">"c7743"</definedName>
    <definedName name="IQ_EXPORTS_FACTOR_SERVICES_SAAR_POP" hidden="1">"c7083"</definedName>
    <definedName name="IQ_EXPORTS_FACTOR_SERVICES_SAAR_POP_FC" hidden="1">"c7963"</definedName>
    <definedName name="IQ_EXPORTS_FACTOR_SERVICES_SAAR_USD_APR_FC" hidden="1">"c11817"</definedName>
    <definedName name="IQ_EXPORTS_FACTOR_SERVICES_SAAR_USD_FC" hidden="1">"c11814"</definedName>
    <definedName name="IQ_EXPORTS_FACTOR_SERVICES_SAAR_USD_POP_FC" hidden="1">"c11815"</definedName>
    <definedName name="IQ_EXPORTS_FACTOR_SERVICES_SAAR_USD_YOY_FC" hidden="1">"c11816"</definedName>
    <definedName name="IQ_EXPORTS_FACTOR_SERVICES_SAAR_YOY" hidden="1">"c7303"</definedName>
    <definedName name="IQ_EXPORTS_FACTOR_SERVICES_SAAR_YOY_FC" hidden="1">"c8183"</definedName>
    <definedName name="IQ_EXPORTS_FACTOR_SERVICES_USD_APR_FC" hidden="1">"c11813"</definedName>
    <definedName name="IQ_EXPORTS_FACTOR_SERVICES_USD_FC" hidden="1">"c11810"</definedName>
    <definedName name="IQ_EXPORTS_FACTOR_SERVICES_USD_POP_FC" hidden="1">"c11811"</definedName>
    <definedName name="IQ_EXPORTS_FACTOR_SERVICES_USD_YOY_FC" hidden="1">"c11812"</definedName>
    <definedName name="IQ_EXPORTS_FACTOR_SERVICES_YOY" hidden="1">"c7302"</definedName>
    <definedName name="IQ_EXPORTS_FACTOR_SERVICES_YOY_FC" hidden="1">"c8182"</definedName>
    <definedName name="IQ_EXPORTS_FC_UNUSED" hidden="1">"c7741"</definedName>
    <definedName name="IQ_EXPORTS_GOODS" hidden="1">"c6864"</definedName>
    <definedName name="IQ_EXPORTS_GOODS_APR" hidden="1">"c7524"</definedName>
    <definedName name="IQ_EXPORTS_GOODS_APR_FC" hidden="1">"c8404"</definedName>
    <definedName name="IQ_EXPORTS_GOODS_FC" hidden="1">"c7744"</definedName>
    <definedName name="IQ_EXPORTS_GOODS_NONFACTOR_SERVICES" hidden="1">"c6865"</definedName>
    <definedName name="IQ_EXPORTS_GOODS_NONFACTOR_SERVICES_APR" hidden="1">"c7525"</definedName>
    <definedName name="IQ_EXPORTS_GOODS_NONFACTOR_SERVICES_APR_FC" hidden="1">"c8405"</definedName>
    <definedName name="IQ_EXPORTS_GOODS_NONFACTOR_SERVICES_FC" hidden="1">"c7745"</definedName>
    <definedName name="IQ_EXPORTS_GOODS_NONFACTOR_SERVICES_POP" hidden="1">"c7085"</definedName>
    <definedName name="IQ_EXPORTS_GOODS_NONFACTOR_SERVICES_POP_FC" hidden="1">"c7965"</definedName>
    <definedName name="IQ_EXPORTS_GOODS_NONFACTOR_SERVICES_YOY" hidden="1">"c7305"</definedName>
    <definedName name="IQ_EXPORTS_GOODS_NONFACTOR_SERVICES_YOY_FC" hidden="1">"c8185"</definedName>
    <definedName name="IQ_EXPORTS_GOODS_POP" hidden="1">"c7084"</definedName>
    <definedName name="IQ_EXPORTS_GOODS_POP_FC" hidden="1">"c7964"</definedName>
    <definedName name="IQ_EXPORTS_GOODS_REAL" hidden="1">"c6973"</definedName>
    <definedName name="IQ_EXPORTS_GOODS_REAL_APR" hidden="1">"c7633"</definedName>
    <definedName name="IQ_EXPORTS_GOODS_REAL_APR_FC" hidden="1">"c8513"</definedName>
    <definedName name="IQ_EXPORTS_GOODS_REAL_FC" hidden="1">"c7853"</definedName>
    <definedName name="IQ_EXPORTS_GOODS_REAL_POP" hidden="1">"c7193"</definedName>
    <definedName name="IQ_EXPORTS_GOODS_REAL_POP_FC" hidden="1">"c8073"</definedName>
    <definedName name="IQ_EXPORTS_GOODS_REAL_SAAR" hidden="1">"c11930"</definedName>
    <definedName name="IQ_EXPORTS_GOODS_REAL_SAAR_APR" hidden="1">"c11933"</definedName>
    <definedName name="IQ_EXPORTS_GOODS_REAL_SAAR_APR_FC_UNUSED" hidden="1">"c8512"</definedName>
    <definedName name="IQ_EXPORTS_GOODS_REAL_SAAR_APR_UNUSED" hidden="1">"c7632"</definedName>
    <definedName name="IQ_EXPORTS_GOODS_REAL_SAAR_FC_UNUSED" hidden="1">"c7852"</definedName>
    <definedName name="IQ_EXPORTS_GOODS_REAL_SAAR_POP" hidden="1">"c11931"</definedName>
    <definedName name="IQ_EXPORTS_GOODS_REAL_SAAR_POP_FC_UNUSED" hidden="1">"c8072"</definedName>
    <definedName name="IQ_EXPORTS_GOODS_REAL_SAAR_POP_UNUSED" hidden="1">"c7192"</definedName>
    <definedName name="IQ_EXPORTS_GOODS_REAL_SAAR_UNUSED" hidden="1">"c6972"</definedName>
    <definedName name="IQ_EXPORTS_GOODS_REAL_SAAR_YOY" hidden="1">"c11932"</definedName>
    <definedName name="IQ_EXPORTS_GOODS_REAL_SAAR_YOY_FC_UNUSED" hidden="1">"c8292"</definedName>
    <definedName name="IQ_EXPORTS_GOODS_REAL_SAAR_YOY_UNUSED" hidden="1">"c7412"</definedName>
    <definedName name="IQ_EXPORTS_GOODS_REAL_YOY" hidden="1">"c7413"</definedName>
    <definedName name="IQ_EXPORTS_GOODS_REAL_YOY_FC" hidden="1">"c8293"</definedName>
    <definedName name="IQ_EXPORTS_GOODS_SERVICES" hidden="1">"c6866"</definedName>
    <definedName name="IQ_EXPORTS_GOODS_SERVICES_APR" hidden="1">"c7526"</definedName>
    <definedName name="IQ_EXPORTS_GOODS_SERVICES_APR_FC" hidden="1">"c8406"</definedName>
    <definedName name="IQ_EXPORTS_GOODS_SERVICES_FC" hidden="1">"c7746"</definedName>
    <definedName name="IQ_EXPORTS_GOODS_SERVICES_POP" hidden="1">"c7086"</definedName>
    <definedName name="IQ_EXPORTS_GOODS_SERVICES_POP_FC" hidden="1">"c7966"</definedName>
    <definedName name="IQ_EXPORTS_GOODS_SERVICES_REAL" hidden="1">"c6974"</definedName>
    <definedName name="IQ_EXPORTS_GOODS_SERVICES_REAL_APR" hidden="1">"c7634"</definedName>
    <definedName name="IQ_EXPORTS_GOODS_SERVICES_REAL_APR_FC" hidden="1">"c8514"</definedName>
    <definedName name="IQ_EXPORTS_GOODS_SERVICES_REAL_FC" hidden="1">"c7854"</definedName>
    <definedName name="IQ_EXPORTS_GOODS_SERVICES_REAL_POP" hidden="1">"c7194"</definedName>
    <definedName name="IQ_EXPORTS_GOODS_SERVICES_REAL_POP_FC" hidden="1">"c8074"</definedName>
    <definedName name="IQ_EXPORTS_GOODS_SERVICES_REAL_SAAR" hidden="1">"c6975"</definedName>
    <definedName name="IQ_EXPORTS_GOODS_SERVICES_REAL_SAAR_APR" hidden="1">"c7635"</definedName>
    <definedName name="IQ_EXPORTS_GOODS_SERVICES_REAL_SAAR_APR_FC" hidden="1">"c8515"</definedName>
    <definedName name="IQ_EXPORTS_GOODS_SERVICES_REAL_SAAR_FC" hidden="1">"c7855"</definedName>
    <definedName name="IQ_EXPORTS_GOODS_SERVICES_REAL_SAAR_POP" hidden="1">"c7195"</definedName>
    <definedName name="IQ_EXPORTS_GOODS_SERVICES_REAL_SAAR_POP_FC" hidden="1">"c8075"</definedName>
    <definedName name="IQ_EXPORTS_GOODS_SERVICES_REAL_SAAR_YOY" hidden="1">"c7415"</definedName>
    <definedName name="IQ_EXPORTS_GOODS_SERVICES_REAL_SAAR_YOY_FC" hidden="1">"c8295"</definedName>
    <definedName name="IQ_EXPORTS_GOODS_SERVICES_REAL_USD" hidden="1">"c11926"</definedName>
    <definedName name="IQ_EXPORTS_GOODS_SERVICES_REAL_USD_APR" hidden="1">"c11929"</definedName>
    <definedName name="IQ_EXPORTS_GOODS_SERVICES_REAL_USD_POP" hidden="1">"c11927"</definedName>
    <definedName name="IQ_EXPORTS_GOODS_SERVICES_REAL_USD_YOY" hidden="1">"c11928"</definedName>
    <definedName name="IQ_EXPORTS_GOODS_SERVICES_REAL_YOY" hidden="1">"c7414"</definedName>
    <definedName name="IQ_EXPORTS_GOODS_SERVICES_REAL_YOY_FC" hidden="1">"c8294"</definedName>
    <definedName name="IQ_EXPORTS_GOODS_SERVICES_SAAR" hidden="1">"c6867"</definedName>
    <definedName name="IQ_EXPORTS_GOODS_SERVICES_SAAR_APR" hidden="1">"c7527"</definedName>
    <definedName name="IQ_EXPORTS_GOODS_SERVICES_SAAR_APR_FC" hidden="1">"c8407"</definedName>
    <definedName name="IQ_EXPORTS_GOODS_SERVICES_SAAR_FC" hidden="1">"c7747"</definedName>
    <definedName name="IQ_EXPORTS_GOODS_SERVICES_SAAR_POP" hidden="1">"c7087"</definedName>
    <definedName name="IQ_EXPORTS_GOODS_SERVICES_SAAR_POP_FC" hidden="1">"c7967"</definedName>
    <definedName name="IQ_EXPORTS_GOODS_SERVICES_SAAR_YOY" hidden="1">"c7307"</definedName>
    <definedName name="IQ_EXPORTS_GOODS_SERVICES_SAAR_YOY_FC" hidden="1">"c8187"</definedName>
    <definedName name="IQ_EXPORTS_GOODS_SERVICES_USD" hidden="1">"c11822"</definedName>
    <definedName name="IQ_EXPORTS_GOODS_SERVICES_USD_APR" hidden="1">"c11825"</definedName>
    <definedName name="IQ_EXPORTS_GOODS_SERVICES_USD_POP" hidden="1">"c11823"</definedName>
    <definedName name="IQ_EXPORTS_GOODS_SERVICES_USD_YOY" hidden="1">"c11824"</definedName>
    <definedName name="IQ_EXPORTS_GOODS_SERVICES_YOY" hidden="1">"c7306"</definedName>
    <definedName name="IQ_EXPORTS_GOODS_SERVICES_YOY_FC" hidden="1">"c8186"</definedName>
    <definedName name="IQ_EXPORTS_GOODS_USD" hidden="1">"c11818"</definedName>
    <definedName name="IQ_EXPORTS_GOODS_USD_APR" hidden="1">"c11821"</definedName>
    <definedName name="IQ_EXPORTS_GOODS_USD_POP" hidden="1">"c11819"</definedName>
    <definedName name="IQ_EXPORTS_GOODS_USD_YOY" hidden="1">"c11820"</definedName>
    <definedName name="IQ_EXPORTS_GOODS_YOY" hidden="1">"c7304"</definedName>
    <definedName name="IQ_EXPORTS_GOODS_YOY_FC" hidden="1">"c8184"</definedName>
    <definedName name="IQ_EXPORTS_NONFACTOR_SERVICES" hidden="1">"c6868"</definedName>
    <definedName name="IQ_EXPORTS_NONFACTOR_SERVICES_APR" hidden="1">"c7528"</definedName>
    <definedName name="IQ_EXPORTS_NONFACTOR_SERVICES_APR_FC" hidden="1">"c8408"</definedName>
    <definedName name="IQ_EXPORTS_NONFACTOR_SERVICES_FC" hidden="1">"c7748"</definedName>
    <definedName name="IQ_EXPORTS_NONFACTOR_SERVICES_POP" hidden="1">"c7088"</definedName>
    <definedName name="IQ_EXPORTS_NONFACTOR_SERVICES_POP_FC" hidden="1">"c7968"</definedName>
    <definedName name="IQ_EXPORTS_NONFACTOR_SERVICES_YOY" hidden="1">"c7308"</definedName>
    <definedName name="IQ_EXPORTS_NONFACTOR_SERVICES_YOY_FC" hidden="1">"c8188"</definedName>
    <definedName name="IQ_EXPORTS_POP_FC_UNUSED" hidden="1">"c7961"</definedName>
    <definedName name="IQ_EXPORTS_POP_UNUSED" hidden="1">"c7081"</definedName>
    <definedName name="IQ_EXPORTS_SERVICES_REAL" hidden="1">"c6977"</definedName>
    <definedName name="IQ_EXPORTS_SERVICES_REAL_APR" hidden="1">"c7637"</definedName>
    <definedName name="IQ_EXPORTS_SERVICES_REAL_APR_FC" hidden="1">"c8517"</definedName>
    <definedName name="IQ_EXPORTS_SERVICES_REAL_FC" hidden="1">"c7857"</definedName>
    <definedName name="IQ_EXPORTS_SERVICES_REAL_POP" hidden="1">"c7197"</definedName>
    <definedName name="IQ_EXPORTS_SERVICES_REAL_POP_FC" hidden="1">"c8077"</definedName>
    <definedName name="IQ_EXPORTS_SERVICES_REAL_SAAR" hidden="1">"c11934"</definedName>
    <definedName name="IQ_EXPORTS_SERVICES_REAL_SAAR_APR" hidden="1">"c11937"</definedName>
    <definedName name="IQ_EXPORTS_SERVICES_REAL_SAAR_APR_FC_UNUSED" hidden="1">"c8516"</definedName>
    <definedName name="IQ_EXPORTS_SERVICES_REAL_SAAR_APR_UNUSED" hidden="1">"c7636"</definedName>
    <definedName name="IQ_EXPORTS_SERVICES_REAL_SAAR_FC_UNUSED" hidden="1">"c7856"</definedName>
    <definedName name="IQ_EXPORTS_SERVICES_REAL_SAAR_POP" hidden="1">"c11935"</definedName>
    <definedName name="IQ_EXPORTS_SERVICES_REAL_SAAR_POP_FC_UNUSED" hidden="1">"c8076"</definedName>
    <definedName name="IQ_EXPORTS_SERVICES_REAL_SAAR_POP_UNUSED" hidden="1">"c7196"</definedName>
    <definedName name="IQ_EXPORTS_SERVICES_REAL_SAAR_UNUSED" hidden="1">"c6976"</definedName>
    <definedName name="IQ_EXPORTS_SERVICES_REAL_SAAR_YOY" hidden="1">"c11936"</definedName>
    <definedName name="IQ_EXPORTS_SERVICES_REAL_SAAR_YOY_FC_UNUSED" hidden="1">"c8296"</definedName>
    <definedName name="IQ_EXPORTS_SERVICES_REAL_SAAR_YOY_UNUSED" hidden="1">"c7416"</definedName>
    <definedName name="IQ_EXPORTS_SERVICES_REAL_YOY" hidden="1">"c7417"</definedName>
    <definedName name="IQ_EXPORTS_SERVICES_REAL_YOY_FC" hidden="1">"c8297"</definedName>
    <definedName name="IQ_EXPORTS_UNUSED" hidden="1">"c6861"</definedName>
    <definedName name="IQ_EXPORTS_USD" hidden="1">"c11806"</definedName>
    <definedName name="IQ_EXPORTS_USD_APR" hidden="1">"c11809"</definedName>
    <definedName name="IQ_EXPORTS_USD_POP" hidden="1">"c11807"</definedName>
    <definedName name="IQ_EXPORTS_USD_YOY" hidden="1">"c11808"</definedName>
    <definedName name="IQ_EXPORTS_YOY_FC_UNUSED" hidden="1">"c8181"</definedName>
    <definedName name="IQ_EXPORTS_YOY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AVG_ASSETS_FFIEC" hidden="1">"c13369"</definedName>
    <definedName name="IQ_EXTRA_ITEMS" hidden="1">"c1459"</definedName>
    <definedName name="IQ_EXTRAORDINARY_GAINS_FDIC" hidden="1">"c6586"</definedName>
    <definedName name="IQ_EXTRAORDINARY_ITEMS_FFIEC" hidden="1">"c13033"</definedName>
    <definedName name="IQ_FAD" hidden="1">"c8757"</definedName>
    <definedName name="IQ_FAD_PAYOUT_RATIO" hidden="1">"c8872"</definedName>
    <definedName name="IQ_FAIR_VALUE_CHANGE_INCL_EARNINGS" hidden="1">"c13849"</definedName>
    <definedName name="IQ_FAIR_VALUE_FDIC" hidden="1">"c6427"</definedName>
    <definedName name="IQ_FARM_LOANS_NET_FDIC" hidden="1">"c6316"</definedName>
    <definedName name="IQ_FARM_LOANS_TOT_LOANS_FFIEC" hidden="1">"c13870"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DIC_DEPOSIT_INSURANCE_FFIEC" hidden="1">"c13053"</definedName>
    <definedName name="IQ_FED_BUDGET_RECEIPTS" hidden="1">"c6869"</definedName>
    <definedName name="IQ_FED_BUDGET_RECEIPTS_APR" hidden="1">"c7529"</definedName>
    <definedName name="IQ_FED_BUDGET_RECEIPTS_APR_FC" hidden="1">"c8409"</definedName>
    <definedName name="IQ_FED_BUDGET_RECEIPTS_FC" hidden="1">"c7749"</definedName>
    <definedName name="IQ_FED_BUDGET_RECEIPTS_POP" hidden="1">"c7089"</definedName>
    <definedName name="IQ_FED_BUDGET_RECEIPTS_POP_FC" hidden="1">"c7969"</definedName>
    <definedName name="IQ_FED_BUDGET_RECEIPTS_YOY" hidden="1">"c7309"</definedName>
    <definedName name="IQ_FED_BUDGET_RECEIPTS_YOY_FC" hidden="1">"c8189"</definedName>
    <definedName name="IQ_FED_FUNDS_PURCHASED_DOM_FFIEC" hidden="1">"c12856"</definedName>
    <definedName name="IQ_FED_FUNDS_PURCHASED_FDIC" hidden="1">"c6343"</definedName>
    <definedName name="IQ_FED_FUNDS_PURCHASED_QUARTERLY_AVG_FFIEC" hidden="1">"c13090"</definedName>
    <definedName name="IQ_FED_FUNDS_SOLD_DOM_FFIEC" hidden="1">"c12806"</definedName>
    <definedName name="IQ_FED_FUNDS_SOLD_FDIC" hidden="1">"c6307"</definedName>
    <definedName name="IQ_FED_FUNDS_SOLD_QUARTERLY_AVG_FFIEC" hidden="1">"c13080"</definedName>
    <definedName name="IQ_FEDFUNDS_SOLD" hidden="1">"c2256"</definedName>
    <definedName name="IQ_FEES_COMMISSIONS_BROKERAGE_FFIEC" hidden="1">"c13005"</definedName>
    <definedName name="IQ_FFO" hidden="1">"c1574"</definedName>
    <definedName name="IQ_FFO_ACT_OR_EST" hidden="1">"c4446"</definedName>
    <definedName name="IQ_FFO_ADJ_ACT_OR_EST" hidden="1">"c4435"</definedName>
    <definedName name="IQ_FFO_ADJ_ACT_OR_EST_CIQ" hidden="1">"c4960"</definedName>
    <definedName name="IQ_FFO_ADJ_EST" hidden="1">"c4434"</definedName>
    <definedName name="IQ_FFO_ADJ_HIGH_EST" hidden="1">"c4437"</definedName>
    <definedName name="IQ_FFO_ADJ_LOW_EST" hidden="1">"c4438"</definedName>
    <definedName name="IQ_FFO_ADJ_MEDIAN_EST" hidden="1">"c4439"</definedName>
    <definedName name="IQ_FFO_ADJ_NUM_EST" hidden="1">"c4440"</definedName>
    <definedName name="IQ_FFO_ADJ_STDDEV_EST" hidden="1">"c4441"</definedName>
    <definedName name="IQ_FFO_EST" hidden="1">"c4445"</definedName>
    <definedName name="IQ_FFO_HIGH_EST" hidden="1">"c4448"</definedName>
    <definedName name="IQ_FFO_LOW_EST" hidden="1">"c4449"</definedName>
    <definedName name="IQ_FFO_MEDIAN_EST" hidden="1">"c4450"</definedName>
    <definedName name="IQ_FFO_NUM_EST" hidden="1">"c4451"</definedName>
    <definedName name="IQ_FFO_PAYOUT_RATIO" hidden="1">"c3492"</definedName>
    <definedName name="IQ_FFO_PER_SHARE_BASIC" hidden="1">"c8867"</definedName>
    <definedName name="IQ_FFO_PER_SHARE_DILUTED" hidden="1">"c8868"</definedName>
    <definedName name="IQ_FFO_SHARE_ACT_OR_EST" hidden="1">"c2216"</definedName>
    <definedName name="IQ_FFO_SHARE_ACT_OR_EST_CIQ" hidden="1">"c4971"</definedName>
    <definedName name="IQ_FFO_SHARE_EST" hidden="1">"c418"</definedName>
    <definedName name="IQ_FFO_SHARE_EST_DET_EST" hidden="1">"c12059"</definedName>
    <definedName name="IQ_FFO_SHARE_EST_DET_EST_CURRENCY" hidden="1">"c12466"</definedName>
    <definedName name="IQ_FFO_SHARE_EST_DET_EST_CURRENCY_THOM" hidden="1">"c12487"</definedName>
    <definedName name="IQ_FFO_SHARE_EST_DET_EST_DATE" hidden="1">"c12212"</definedName>
    <definedName name="IQ_FFO_SHARE_EST_DET_EST_DATE_THOM" hidden="1">"c12238"</definedName>
    <definedName name="IQ_FFO_SHARE_EST_DET_EST_INCL" hidden="1">"c12349"</definedName>
    <definedName name="IQ_FFO_SHARE_EST_DET_EST_INCL_THOM" hidden="1">"c12370"</definedName>
    <definedName name="IQ_FFO_SHARE_EST_DET_EST_ORIGIN" hidden="1">"c12722"</definedName>
    <definedName name="IQ_FFO_SHARE_EST_DET_EST_ORIGIN_THOM" hidden="1">"c12608"</definedName>
    <definedName name="IQ_FFO_SHARE_EST_DET_EST_THOM" hidden="1">"c12088"</definedName>
    <definedName name="IQ_FFO_SHARE_EST_THOM" hidden="1">"c3999"</definedName>
    <definedName name="IQ_FFO_SHARE_HIGH_EST" hidden="1">"c419"</definedName>
    <definedName name="IQ_FFO_SHARE_HIGH_EST_THOM" hidden="1">"c4001"</definedName>
    <definedName name="IQ_FFO_SHARE_LOW_EST" hidden="1">"c420"</definedName>
    <definedName name="IQ_FFO_SHARE_LOW_EST_THOM" hidden="1">"c4002"</definedName>
    <definedName name="IQ_FFO_SHARE_MEDIAN_EST" hidden="1">"c1665"</definedName>
    <definedName name="IQ_FFO_SHARE_MEDIAN_EST_THOM" hidden="1">"c4000"</definedName>
    <definedName name="IQ_FFO_SHARE_NUM_EST" hidden="1">"c421"</definedName>
    <definedName name="IQ_FFO_SHARE_NUM_EST_THOM" hidden="1">"c4003"</definedName>
    <definedName name="IQ_FFO_SHARE_STDDEV_EST" hidden="1">"c422"</definedName>
    <definedName name="IQ_FFO_SHARE_STDDEV_EST_THOM" hidden="1">"c4004"</definedName>
    <definedName name="IQ_FFO_STDDEV_EST" hidden="1">"c4452"</definedName>
    <definedName name="IQ_FH" hidden="1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DUCIARY_INCOME_OPERATING_INC_FFIEC" hidden="1">"c13383"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_CURRENCY_AP" hidden="1">"c11747"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AL_LOC_FOREIGN_GUARANTEES_FFIEC" hidden="1">"c13249"</definedName>
    <definedName name="IQ_FINANCIAL_SERVICING_ASSETS_FAIR_VALUE_TOT_FFIEC" hidden="1">"c13212"</definedName>
    <definedName name="IQ_FINANCIAL_SERVICING_ASSETS_LEVEL_1_FFIEC" hidden="1">"c13220"</definedName>
    <definedName name="IQ_FINANCIAL_SERVICING_ASSETS_LEVEL_2_FFIEC" hidden="1">"c13228"</definedName>
    <definedName name="IQ_FINANCIAL_SERVICING_ASSETS_LEVEL_3_FFIEC" hidden="1">"c13236"</definedName>
    <definedName name="IQ_FINANCIAL_SERVICING_LIAB_FAIR_VALUE_TOT_FFIEC" hidden="1">"c13215"</definedName>
    <definedName name="IQ_FINANCIAL_SERVICING_LIAB_LEVEL_1_FFIEC" hidden="1">"c13223"</definedName>
    <definedName name="IQ_FINANCIAL_SERVICING_LIAB_LEVEL_2_FFIEC" hidden="1">"c13231"</definedName>
    <definedName name="IQ_FINANCIAL_SERVICING_LIAB_LEVEL_3_FFIEC" hidden="1">"c13239"</definedName>
    <definedName name="IQ_FINANCING_CASH" hidden="1">"c1405"</definedName>
    <definedName name="IQ_FINANCING_CASH_SUPPL" hidden="1">"c1406"</definedName>
    <definedName name="IQ_FINANCING_OBLIG_CURRENT" hidden="1">"c11753"</definedName>
    <definedName name="IQ_FINANCING_OBLIG_NON_CURRENT" hidden="1">"c11754"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CIQ" hidden="1">"c6806"</definedName>
    <definedName name="IQ_FISCAL_Q_EST_THOM" hidden="1">"c6802"</definedName>
    <definedName name="IQ_FISCAL_Y" hidden="1">"c441"</definedName>
    <definedName name="IQ_FISCAL_Y_EST" hidden="1">"c6795"</definedName>
    <definedName name="IQ_FISCAL_Y_EST_CIQ" hidden="1">"c6807"</definedName>
    <definedName name="IQ_FISCAL_Y_EST_THOM" hidden="1">"c6803"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_FREQUENCY" hidden="1">"c8964"</definedName>
    <definedName name="IQ_FIXED_ASSET_TURNS" hidden="1">"c445"</definedName>
    <definedName name="IQ_FIXED_INCOME_LIST" hidden="1">"c13504"</definedName>
    <definedName name="IQ_FIXED_INVEST_APR_FC_UNUSED" hidden="1">"c8410"</definedName>
    <definedName name="IQ_FIXED_INVEST_APR_UNUSED" hidden="1">"c7530"</definedName>
    <definedName name="IQ_FIXED_INVEST_FC_UNUSED" hidden="1">"c7750"</definedName>
    <definedName name="IQ_FIXED_INVEST_MACH_EQUIP" hidden="1">"c6871"</definedName>
    <definedName name="IQ_FIXED_INVEST_MACH_EQUIP_APR" hidden="1">"c7531"</definedName>
    <definedName name="IQ_FIXED_INVEST_MACH_EQUIP_APR_FC" hidden="1">"c8411"</definedName>
    <definedName name="IQ_FIXED_INVEST_MACH_EQUIP_FC" hidden="1">"c7751"</definedName>
    <definedName name="IQ_FIXED_INVEST_MACH_EQUIP_POP" hidden="1">"c7091"</definedName>
    <definedName name="IQ_FIXED_INVEST_MACH_EQUIP_POP_FC" hidden="1">"c7971"</definedName>
    <definedName name="IQ_FIXED_INVEST_MACH_EQUIP_REAL" hidden="1">"c6979"</definedName>
    <definedName name="IQ_FIXED_INVEST_MACH_EQUIP_REAL_APR" hidden="1">"c7639"</definedName>
    <definedName name="IQ_FIXED_INVEST_MACH_EQUIP_REAL_APR_FC" hidden="1">"c8519"</definedName>
    <definedName name="IQ_FIXED_INVEST_MACH_EQUIP_REAL_FC" hidden="1">"c7859"</definedName>
    <definedName name="IQ_FIXED_INVEST_MACH_EQUIP_REAL_POP" hidden="1">"c7199"</definedName>
    <definedName name="IQ_FIXED_INVEST_MACH_EQUIP_REAL_POP_FC" hidden="1">"c8079"</definedName>
    <definedName name="IQ_FIXED_INVEST_MACH_EQUIP_REAL_YOY" hidden="1">"c7419"</definedName>
    <definedName name="IQ_FIXED_INVEST_MACH_EQUIP_REAL_YOY_FC" hidden="1">"c8299"</definedName>
    <definedName name="IQ_FIXED_INVEST_MACH_EQUIP_YOY" hidden="1">"c7311"</definedName>
    <definedName name="IQ_FIXED_INVEST_MACH_EQUIP_YOY_FC" hidden="1">"c8191"</definedName>
    <definedName name="IQ_FIXED_INVEST_POP_FC_UNUSED" hidden="1">"c7970"</definedName>
    <definedName name="IQ_FIXED_INVEST_POP_UNUSED" hidden="1">"c7090"</definedName>
    <definedName name="IQ_FIXED_INVEST_REAL_APR_FC_UNUSED" hidden="1">"c8518"</definedName>
    <definedName name="IQ_FIXED_INVEST_REAL_APR_UNUSED" hidden="1">"c7638"</definedName>
    <definedName name="IQ_FIXED_INVEST_REAL_FC_UNUSED" hidden="1">"c7858"</definedName>
    <definedName name="IQ_FIXED_INVEST_REAL_POP_FC_UNUSED" hidden="1">"c8078"</definedName>
    <definedName name="IQ_FIXED_INVEST_REAL_POP_UNUSED" hidden="1">"c7198"</definedName>
    <definedName name="IQ_FIXED_INVEST_REAL_SAAR" hidden="1">"c6980"</definedName>
    <definedName name="IQ_FIXED_INVEST_REAL_SAAR_APR" hidden="1">"c7640"</definedName>
    <definedName name="IQ_FIXED_INVEST_REAL_SAAR_APR_FC" hidden="1">"c8520"</definedName>
    <definedName name="IQ_FIXED_INVEST_REAL_SAAR_FC" hidden="1">"c7860"</definedName>
    <definedName name="IQ_FIXED_INVEST_REAL_SAAR_POP" hidden="1">"c7200"</definedName>
    <definedName name="IQ_FIXED_INVEST_REAL_SAAR_POP_FC" hidden="1">"c8080"</definedName>
    <definedName name="IQ_FIXED_INVEST_REAL_SAAR_USD_APR_FC" hidden="1">"c11945"</definedName>
    <definedName name="IQ_FIXED_INVEST_REAL_SAAR_USD_FC" hidden="1">"c11942"</definedName>
    <definedName name="IQ_FIXED_INVEST_REAL_SAAR_USD_POP_FC" hidden="1">"c11943"</definedName>
    <definedName name="IQ_FIXED_INVEST_REAL_SAAR_USD_YOY_FC" hidden="1">"c11944"</definedName>
    <definedName name="IQ_FIXED_INVEST_REAL_SAAR_YOY" hidden="1">"c7420"</definedName>
    <definedName name="IQ_FIXED_INVEST_REAL_SAAR_YOY_FC" hidden="1">"c8300"</definedName>
    <definedName name="IQ_FIXED_INVEST_REAL_UNUSED" hidden="1">"c6978"</definedName>
    <definedName name="IQ_FIXED_INVEST_REAL_USD_APR_FC" hidden="1">"c11941"</definedName>
    <definedName name="IQ_FIXED_INVEST_REAL_USD_FC" hidden="1">"c11938"</definedName>
    <definedName name="IQ_FIXED_INVEST_REAL_USD_POP_FC" hidden="1">"c11939"</definedName>
    <definedName name="IQ_FIXED_INVEST_REAL_USD_YOY_FC" hidden="1">"c11940"</definedName>
    <definedName name="IQ_FIXED_INVEST_REAL_YOY_FC_UNUSED" hidden="1">"c8298"</definedName>
    <definedName name="IQ_FIXED_INVEST_REAL_YOY_UNUSED" hidden="1">"c7418"</definedName>
    <definedName name="IQ_FIXED_INVEST_SAAR" hidden="1">"c6872"</definedName>
    <definedName name="IQ_FIXED_INVEST_SAAR_APR" hidden="1">"c7532"</definedName>
    <definedName name="IQ_FIXED_INVEST_SAAR_APR_FC" hidden="1">"c8412"</definedName>
    <definedName name="IQ_FIXED_INVEST_SAAR_FC" hidden="1">"c7752"</definedName>
    <definedName name="IQ_FIXED_INVEST_SAAR_POP" hidden="1">"c7092"</definedName>
    <definedName name="IQ_FIXED_INVEST_SAAR_POP_FC" hidden="1">"c7972"</definedName>
    <definedName name="IQ_FIXED_INVEST_SAAR_USD_APR_FC" hidden="1">"c11833"</definedName>
    <definedName name="IQ_FIXED_INVEST_SAAR_USD_FC" hidden="1">"c11830"</definedName>
    <definedName name="IQ_FIXED_INVEST_SAAR_USD_POP_FC" hidden="1">"c11831"</definedName>
    <definedName name="IQ_FIXED_INVEST_SAAR_USD_YOY_FC" hidden="1">"c11832"</definedName>
    <definedName name="IQ_FIXED_INVEST_SAAR_YOY" hidden="1">"c7312"</definedName>
    <definedName name="IQ_FIXED_INVEST_SAAR_YOY_FC" hidden="1">"c8192"</definedName>
    <definedName name="IQ_FIXED_INVEST_UNUSED" hidden="1">"c6870"</definedName>
    <definedName name="IQ_FIXED_INVEST_USD_APR_FC" hidden="1">"c11829"</definedName>
    <definedName name="IQ_FIXED_INVEST_USD_FC" hidden="1">"c11826"</definedName>
    <definedName name="IQ_FIXED_INVEST_USD_POP_FC" hidden="1">"c11827"</definedName>
    <definedName name="IQ_FIXED_INVEST_USD_YOY_FC" hidden="1">"c11828"</definedName>
    <definedName name="IQ_FIXED_INVEST_YOY_FC_UNUSED" hidden="1">"c8190"</definedName>
    <definedName name="IQ_FIXED_INVEST_YOY_UNUSED" hidden="1">"c7310"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DUE_30_89_FFIEC" hidden="1">"c13269"</definedName>
    <definedName name="IQ_FOREIGN_BANKS_DUE_90_FFIEC" hidden="1">"c13295"</definedName>
    <definedName name="IQ_FOREIGN_BANKS_LOAN_CHARG_OFFS_FDIC" hidden="1">"c6645"</definedName>
    <definedName name="IQ_FOREIGN_BANKS_NET_CHARGE_OFFS_FDIC" hidden="1">"c6647"</definedName>
    <definedName name="IQ_FOREIGN_BANKS_NON_ACCRUAL_FFIEC" hidden="1">"c13321"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ASSETS_TOT_FFIEC" hidden="1">"c13445"</definedName>
    <definedName name="IQ_FOREIGN_DEPOSITS_NONTRANSACTION_ACCOUNTS_FDIC" hidden="1">"c6549"</definedName>
    <definedName name="IQ_FOREIGN_DEPOSITS_TOT_FFIEC" hidden="1">"c13486"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L_REC_FFIEC" hidden="1">"c12892"</definedName>
    <definedName name="IQ_FOREIGN_LOANS" hidden="1">"c448"</definedName>
    <definedName name="IQ_FOREIGN_LOANS_LEASES_FOREIGN_FFIEC" hidden="1">"c13478"</definedName>
    <definedName name="IQ_FOUNDATION_OVER_TOTAL" hidden="1">"c13769"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ND_FEE_INC_NON_INT_INC_FFIEC" hidden="1">"c13493"</definedName>
    <definedName name="IQ_FUNDING_DEPENDENCE_FFIEC" hidden="1">"c13336"</definedName>
    <definedName name="IQ_FUNDING_DEPENDENCE_ST_FFIEC" hidden="1">"c13337"</definedName>
    <definedName name="IQ_FUNDS_PURCHASED_ASSETS_TOT_FFIEC" hidden="1">"c13446"</definedName>
    <definedName name="IQ_FUTURES_FORWARD_CONTRACTS_NOTIONAL_AMOUNT_FDIC" hidden="1">"c6518"</definedName>
    <definedName name="IQ_FUTURES_FORWARD_CONTRACTS_RATE_RISK_FDIC" hidden="1">"c6508"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DIC" hidden="1">"c6517"</definedName>
    <definedName name="IQ_FX_CONTRACTS_FFIEC" hidden="1">"c13125"</definedName>
    <definedName name="IQ_FX_CONTRACTS_SPOT_FDIC" hidden="1">"c6356"</definedName>
    <definedName name="IQ_FX_EXPOSURE_FFIEC" hidden="1">"c13059"</definedName>
    <definedName name="IQ_FY" hidden="1">1000</definedName>
    <definedName name="IQ_GA_EXP" hidden="1">"c2241"</definedName>
    <definedName name="IQ_GAAP_BS" hidden="1">"c6789"</definedName>
    <definedName name="IQ_GAAP_CF" hidden="1">"c6790"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CREDIT_DERIVATIVES_FFIEC" hidden="1">"c13066"</definedName>
    <definedName name="IQ_GAIN_CREDIT_DERIVATIVES_NON_TRADING_FFIEC" hidden="1">"c13067"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AFS_AVG_ASSETS_FFIEC" hidden="1">"c13364"</definedName>
    <definedName name="IQ_GAINS_ASSETS_TOT_FFIEC" hidden="1">"c13073"</definedName>
    <definedName name="IQ_GAINS_AVAIL_SALE_EQUITY_SEC_T2_FFIEC" hidden="1">"c13147"</definedName>
    <definedName name="IQ_GAINS_AVAIL_SALE_SEC_T1_FFIEC" hidden="1">"c13131"</definedName>
    <definedName name="IQ_GAINS_CASH_FLOW_HEDGES_T1_FFIEC" hidden="1">"c13133"</definedName>
    <definedName name="IQ_GAINS_HTM_AVG_ASSETS_FFIEC" hidden="1">"c13363"</definedName>
    <definedName name="IQ_GAINS_INSTRUMENT_SPECIFIC_CREDIT_RISK_LIAB_FFIEC" hidden="1">"c13076"</definedName>
    <definedName name="IQ_GAINS_INSTRUMENT_SPECIFIC_RISK_FFIEC" hidden="1">"c13074"</definedName>
    <definedName name="IQ_GAINS_INSURANCE_ACTIVITIES_FFIEC" hidden="1">"c13072"</definedName>
    <definedName name="IQ_GAINS_LIABILITIES_FFIEC" hidden="1">"c13075"</definedName>
    <definedName name="IQ_GAINS_SALE_ASSETS_FDIC" hidden="1">"c6675"</definedName>
    <definedName name="IQ_GAINS_SALE_LOANS_LEASES_FFIEC" hidden="1">"c13013"</definedName>
    <definedName name="IQ_GAINS_SALE_OTHER_ASSETS_FFIEC" hidden="1">"c13015"</definedName>
    <definedName name="IQ_GAINS_SALE_OTHER_RE_OWNED_FFIEC" hidden="1">"c13014"</definedName>
    <definedName name="IQ_GAINS_SECURITIZATION_OPERATING_INC_FFIEC" hidden="1">"c13391"</definedName>
    <definedName name="IQ_GDP" hidden="1">"c6874"</definedName>
    <definedName name="IQ_GDP_APR" hidden="1">"c7534"</definedName>
    <definedName name="IQ_GDP_APR_FC" hidden="1">"c8414"</definedName>
    <definedName name="IQ_GDP_FC" hidden="1">"c7754"</definedName>
    <definedName name="IQ_GDP_POP" hidden="1">"c7094"</definedName>
    <definedName name="IQ_GDP_POP_FC" hidden="1">"c7974"</definedName>
    <definedName name="IQ_GDP_REAL" hidden="1">"c6981"</definedName>
    <definedName name="IQ_GDP_REAL_APR" hidden="1">"c7641"</definedName>
    <definedName name="IQ_GDP_REAL_APR_FC" hidden="1">"c8521"</definedName>
    <definedName name="IQ_GDP_REAL_FC" hidden="1">"c7861"</definedName>
    <definedName name="IQ_GDP_REAL_POP" hidden="1">"c7201"</definedName>
    <definedName name="IQ_GDP_REAL_POP_FC" hidden="1">"c8081"</definedName>
    <definedName name="IQ_GDP_REAL_SAAR" hidden="1">"c6982"</definedName>
    <definedName name="IQ_GDP_REAL_SAAR_APR" hidden="1">"c7642"</definedName>
    <definedName name="IQ_GDP_REAL_SAAR_APR_FC" hidden="1">"c8522"</definedName>
    <definedName name="IQ_GDP_REAL_SAAR_FC" hidden="1">"c7862"</definedName>
    <definedName name="IQ_GDP_REAL_SAAR_POP" hidden="1">"c7202"</definedName>
    <definedName name="IQ_GDP_REAL_SAAR_POP_FC" hidden="1">"c8082"</definedName>
    <definedName name="IQ_GDP_REAL_SAAR_YOY" hidden="1">"c7422"</definedName>
    <definedName name="IQ_GDP_REAL_SAAR_YOY_FC" hidden="1">"c8302"</definedName>
    <definedName name="IQ_GDP_REAL_USD" hidden="1">"c11946"</definedName>
    <definedName name="IQ_GDP_REAL_USD_APR" hidden="1">"c11949"</definedName>
    <definedName name="IQ_GDP_REAL_USD_POP" hidden="1">"c11947"</definedName>
    <definedName name="IQ_GDP_REAL_USD_YOY" hidden="1">"c11948"</definedName>
    <definedName name="IQ_GDP_REAL_YOY" hidden="1">"c7421"</definedName>
    <definedName name="IQ_GDP_REAL_YOY_FC" hidden="1">"c8301"</definedName>
    <definedName name="IQ_GDP_SAAR" hidden="1">"c6875"</definedName>
    <definedName name="IQ_GDP_SAAR_APR" hidden="1">"c7535"</definedName>
    <definedName name="IQ_GDP_SAAR_APR_FC" hidden="1">"c8415"</definedName>
    <definedName name="IQ_GDP_SAAR_FC" hidden="1">"c7755"</definedName>
    <definedName name="IQ_GDP_SAAR_POP" hidden="1">"c7095"</definedName>
    <definedName name="IQ_GDP_SAAR_POP_FC" hidden="1">"c7975"</definedName>
    <definedName name="IQ_GDP_SAAR_YOY" hidden="1">"c7315"</definedName>
    <definedName name="IQ_GDP_SAAR_YOY_FC" hidden="1">"c8195"</definedName>
    <definedName name="IQ_GDP_USD" hidden="1">"c11834"</definedName>
    <definedName name="IQ_GDP_USD_APR" hidden="1">"c11837"</definedName>
    <definedName name="IQ_GDP_USD_POP" hidden="1">"c11835"</definedName>
    <definedName name="IQ_GDP_USD_YOY" hidden="1">"c11836"</definedName>
    <definedName name="IQ_GDP_YOY" hidden="1">"c7314"</definedName>
    <definedName name="IQ_GDP_YOY_FC" hidden="1">"c8194"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LA_PCT_LEASED_CONSOL" hidden="1">"c8810"</definedName>
    <definedName name="IQ_GLA_PCT_LEASED_MANAGED" hidden="1">"c8812"</definedName>
    <definedName name="IQ_GLA_PCT_LEASED_OTHER" hidden="1">"c8813"</definedName>
    <definedName name="IQ_GLA_PCT_LEASED_TOTAL" hidden="1">"c8814"</definedName>
    <definedName name="IQ_GLA_PCT_LEASED_UNCONSOL" hidden="1">"c8811"</definedName>
    <definedName name="IQ_GLA_SQ_FT_CONSOL" hidden="1">"c8790"</definedName>
    <definedName name="IQ_GLA_SQ_FT_MANAGED" hidden="1">"c8792"</definedName>
    <definedName name="IQ_GLA_SQ_FT_OTHER" hidden="1">"c8793"</definedName>
    <definedName name="IQ_GLA_SQ_FT_TOTAL" hidden="1">"c8794"</definedName>
    <definedName name="IQ_GLA_SQ_FT_UNCONSOL" hidden="1">"c8791"</definedName>
    <definedName name="IQ_GLA_SQ_METER_CONSOL" hidden="1">"c8795"</definedName>
    <definedName name="IQ_GLA_SQ_METER_MANAGED" hidden="1">"c8797"</definedName>
    <definedName name="IQ_GLA_SQ_METER_OTHER" hidden="1">"c8798"</definedName>
    <definedName name="IQ_GLA_SQ_METER_TOTAL" hidden="1">"c8799"</definedName>
    <definedName name="IQ_GLA_SQ_METER_UNCONSOL" hidden="1">"c8796"</definedName>
    <definedName name="IQ_GNMA_FDIC" hidden="1">"c6398"</definedName>
    <definedName name="IQ_GOODWILL_FDIC" hidden="1">"c6334"</definedName>
    <definedName name="IQ_GOODWILL_FFIEC" hidden="1">"c12836"</definedName>
    <definedName name="IQ_GOODWILL_IMPAIRMENT_FDIC" hidden="1">"c6678"</definedName>
    <definedName name="IQ_GOODWILL_IMPAIRMENT_FFIEC" hidden="1">"c13025"</definedName>
    <definedName name="IQ_GOODWILL_INTAN_FDIC" hidden="1">"c6333"</definedName>
    <definedName name="IQ_GOODWILL_NET" hidden="1">"c1380"</definedName>
    <definedName name="IQ_GOVT_PERSONAL_TAXES_RECEIPTS" hidden="1">"c6876"</definedName>
    <definedName name="IQ_GOVT_PERSONAL_TAXES_RECEIPTS_APR" hidden="1">"c7536"</definedName>
    <definedName name="IQ_GOVT_PERSONAL_TAXES_RECEIPTS_APR_FC" hidden="1">"c8416"</definedName>
    <definedName name="IQ_GOVT_PERSONAL_TAXES_RECEIPTS_FC" hidden="1">"c7756"</definedName>
    <definedName name="IQ_GOVT_PERSONAL_TAXES_RECEIPTS_POP" hidden="1">"c7096"</definedName>
    <definedName name="IQ_GOVT_PERSONAL_TAXES_RECEIPTS_POP_FC" hidden="1">"c7976"</definedName>
    <definedName name="IQ_GOVT_PERSONAL_TAXES_RECEIPTS_YOY" hidden="1">"c7316"</definedName>
    <definedName name="IQ_GOVT_PERSONAL_TAXES_RECEIPTS_YOY_FC" hidden="1">"c8196"</definedName>
    <definedName name="IQ_GOVT_RECEIPTS" hidden="1">"c6877"</definedName>
    <definedName name="IQ_GOVT_RECEIPTS_APR" hidden="1">"c7537"</definedName>
    <definedName name="IQ_GOVT_RECEIPTS_APR_FC" hidden="1">"c8417"</definedName>
    <definedName name="IQ_GOVT_RECEIPTS_FC" hidden="1">"c7757"</definedName>
    <definedName name="IQ_GOVT_RECEIPTS_POP" hidden="1">"c7097"</definedName>
    <definedName name="IQ_GOVT_RECEIPTS_POP_FC" hidden="1">"c7977"</definedName>
    <definedName name="IQ_GOVT_RECEIPTS_YOY" hidden="1">"c7317"</definedName>
    <definedName name="IQ_GOVT_RECEIPTS_YOY_FC" hidden="1">"c8197"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LOSSES_AVG_LOANS_FFIEC" hidden="1">"c13475"</definedName>
    <definedName name="IQ_GROSS_MARGIN" hidden="1">"c529"</definedName>
    <definedName name="IQ_GROSS_MARGIN_ACT_OR_EST" hidden="1">"c5554"</definedName>
    <definedName name="IQ_GROSS_MARGIN_ACT_OR_EST_THOM" hidden="1">"c5562"</definedName>
    <definedName name="IQ_GROSS_MARGIN_DET_EST_DATE_THOM" hidden="1">"c12239"</definedName>
    <definedName name="IQ_GROSS_MARGIN_DET_EST_INCL_THOM" hidden="1">"c12371"</definedName>
    <definedName name="IQ_GROSS_MARGIN_DET_EST_ORIGIN_THOM" hidden="1">"c12609"</definedName>
    <definedName name="IQ_GROSS_MARGIN_DET_EST_THOM" hidden="1">"c12089"</definedName>
    <definedName name="IQ_GROSS_MARGIN_EST" hidden="1">"c5547"</definedName>
    <definedName name="IQ_GROSS_MARGIN_EST_THOM" hidden="1">"c5555"</definedName>
    <definedName name="IQ_GROSS_MARGIN_HIGH_EST" hidden="1">"c5549"</definedName>
    <definedName name="IQ_GROSS_MARGIN_HIGH_EST_THOM" hidden="1">"c5557"</definedName>
    <definedName name="IQ_GROSS_MARGIN_LOW_EST" hidden="1">"c5550"</definedName>
    <definedName name="IQ_GROSS_MARGIN_LOW_EST_THOM" hidden="1">"c5558"</definedName>
    <definedName name="IQ_GROSS_MARGIN_MEDIAN_EST" hidden="1">"c5548"</definedName>
    <definedName name="IQ_GROSS_MARGIN_MEDIAN_EST_THOM" hidden="1">"c5556"</definedName>
    <definedName name="IQ_GROSS_MARGIN_NUM_EST" hidden="1">"c5551"</definedName>
    <definedName name="IQ_GROSS_MARGIN_NUM_EST_THOM" hidden="1">"c5559"</definedName>
    <definedName name="IQ_GROSS_MARGIN_STDDEV_EST" hidden="1">"c5552"</definedName>
    <definedName name="IQ_GROSS_MARGIN_STDDEV_EST_THOM" hidden="1">"c5560"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ROUP_EMBEDDED_VALUE_ASSET_MANAGEMENT" hidden="1">"c9955"</definedName>
    <definedName name="IQ_GROUP_EMBEDDED_VALUE_HEALTH" hidden="1">"c9954"</definedName>
    <definedName name="IQ_GROUP_EMBEDDED_VALUE_LIFE" hidden="1">"c9953"</definedName>
    <definedName name="IQ_GROUP_EMBEDDED_VALUE_LIFE_OTHER" hidden="1">"c9956"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JUSTED_DISCHARGES" hidden="1">"c9977"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SO_COVERED_LIVES" hidden="1">"c9982"</definedName>
    <definedName name="IQ_HC_ASO_MEMBERSHIP" hidden="1">"c9985"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CASES" hidden="1">"c9978"</definedName>
    <definedName name="IQ_HC_CLAIMS_RESERVES" hidden="1">"c9989"</definedName>
    <definedName name="IQ_HC_DAYS_REV_OUT" hidden="1">"c5993"</definedName>
    <definedName name="IQ_HC_DISCHARGES" hidden="1">"c9976"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QUIVALENT_PATIENT_DAYS" hidden="1">"c9980"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L_EXPENSE_RATIO" hidden="1">"c9987"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CASE" hidden="1">"c9979"</definedName>
    <definedName name="IQ_HC_REV_PER_DISCHARGE" hidden="1">"c9990"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RISK_COVERED_LIVES" hidden="1">"c9981"</definedName>
    <definedName name="IQ_HC_RISK_MEMBERSHIP" hidden="1">"c9984"</definedName>
    <definedName name="IQ_HC_SALARIES_PCT_REV" hidden="1">"c5970"</definedName>
    <definedName name="IQ_HC_SGA_MARGIN" hidden="1">"c9988"</definedName>
    <definedName name="IQ_HC_SUPPLIES_PCT_REV" hidden="1">"c5971"</definedName>
    <definedName name="IQ_HC_TOTAL_COVERED_LIVES" hidden="1">"c9983"</definedName>
    <definedName name="IQ_HC_TOTAL_MEMBERSHIP" hidden="1">"c9986"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DGEFUND_OVER_TOTAL" hidden="1">"c13771"</definedName>
    <definedName name="IQ_HELD_MATURITY_FDIC" hidden="1">"c6408"</definedName>
    <definedName name="IQ_HG_ACQUIRED_FRANCHISE_HOTEL_PROPERTIES" hidden="1">"c8584"</definedName>
    <definedName name="IQ_HG_ACQUIRED_FRANCHISE_ROOMS" hidden="1">"c8614"</definedName>
    <definedName name="IQ_HG_ACQUIRED_HOTEL_PROPERTIES" hidden="1">"c8572"</definedName>
    <definedName name="IQ_HG_ACQUIRED_MANAGED_HOTEL_PROPERTIES" hidden="1">"c8590"</definedName>
    <definedName name="IQ_HG_ACQUIRED_MANAGED_ROOMS" hidden="1">"c8620"</definedName>
    <definedName name="IQ_HG_ACQUIRED_OTHER_HOTEL_PROPERTIES" hidden="1">"c8596"</definedName>
    <definedName name="IQ_HG_ACQUIRED_OTHER_ROOMS" hidden="1">"c8626"</definedName>
    <definedName name="IQ_HG_ACQUIRED_OWNED_HOTEL_PROPERTIES" hidden="1">"c8578"</definedName>
    <definedName name="IQ_HG_ACQUIRED_OWNED_ROOMS" hidden="1">"c8608"</definedName>
    <definedName name="IQ_HG_ACQUIRED_ROOMS" hidden="1">"c8602"</definedName>
    <definedName name="IQ_HG_ADR_CHANGE_FRANCHISE" hidden="1">"c8684"</definedName>
    <definedName name="IQ_HG_ADR_CHANGE_MANAGED" hidden="1">"c8685"</definedName>
    <definedName name="IQ_HG_ADR_CHANGE_OTHER" hidden="1">"c8686"</definedName>
    <definedName name="IQ_HG_ADR_CHANGE_OWNED" hidden="1">"c8683"</definedName>
    <definedName name="IQ_HG_ADR_CHANGE_OWNED_COMP" hidden="1">"c8709"</definedName>
    <definedName name="IQ_HG_ADR_CHANGE_TOTAL" hidden="1">"c8687"</definedName>
    <definedName name="IQ_HG_ADR_CHANGE_TOTAL_COMP" hidden="1">"c8710"</definedName>
    <definedName name="IQ_HG_ADR_FRANCHISE" hidden="1">"c8664"</definedName>
    <definedName name="IQ_HG_ADR_MANAGED" hidden="1">"c8665"</definedName>
    <definedName name="IQ_HG_ADR_OTHER" hidden="1">"c8666"</definedName>
    <definedName name="IQ_HG_ADR_OWNED" hidden="1">"c8663"</definedName>
    <definedName name="IQ_HG_ADR_OWNED_COMP" hidden="1">"c8701"</definedName>
    <definedName name="IQ_HG_ADR_TOTAL" hidden="1">"c8667"</definedName>
    <definedName name="IQ_HG_ADR_TOTAL_COMP" hidden="1">"c8702"</definedName>
    <definedName name="IQ_HG_CASINOS_JV" hidden="1">"c8631"</definedName>
    <definedName name="IQ_HG_CASINOS_MANAGED" hidden="1">"c8632"</definedName>
    <definedName name="IQ_HG_CASINOS_OWNED" hidden="1">"c8630"</definedName>
    <definedName name="IQ_HG_CASINOS_TOTAL" hidden="1">"c8633"</definedName>
    <definedName name="IQ_HG_CLOSED_FRANCHISE_HOTEL_PROPERTIES" hidden="1">"c8586"</definedName>
    <definedName name="IQ_HG_CLOSED_FRANCHISE_ROOMS" hidden="1">"c8616"</definedName>
    <definedName name="IQ_HG_CLOSED_HOTEL_PROPERTIES" hidden="1">"c8574"</definedName>
    <definedName name="IQ_HG_CLOSED_MANAGED_HOTEL_PROPERTIES" hidden="1">"c8592"</definedName>
    <definedName name="IQ_HG_CLOSED_MANAGED_ROOMS" hidden="1">"c8622"</definedName>
    <definedName name="IQ_HG_CLOSED_OTHER_HOTEL_PROPERTIES" hidden="1">"c8598"</definedName>
    <definedName name="IQ_HG_CLOSED_OTHER_ROOMS" hidden="1">"c8628"</definedName>
    <definedName name="IQ_HG_CLOSED_OWNED_HOTEL_PROPERTIES" hidden="1">"c8580"</definedName>
    <definedName name="IQ_HG_CLOSED_OWNED_ROOMS" hidden="1">"c8610"</definedName>
    <definedName name="IQ_HG_CLOSED_ROOMS" hidden="1">"c8604"</definedName>
    <definedName name="IQ_HG_EXP_CASINO" hidden="1">"c8733"</definedName>
    <definedName name="IQ_HG_EXP_DEVELOPMENT" hidden="1">"c8738"</definedName>
    <definedName name="IQ_HG_EXP_ENTERTAINMENT" hidden="1">"c8736"</definedName>
    <definedName name="IQ_HG_EXP_FOOD_BEV" hidden="1">"c8734"</definedName>
    <definedName name="IQ_HG_EXP_FRANCHISE_MANAGEMENT" hidden="1">"c8744"</definedName>
    <definedName name="IQ_HG_EXP_OTHER_MNGD_FRANCHISE_PROP" hidden="1">"c8742"</definedName>
    <definedName name="IQ_HG_EXP_OWNED_LEASED_CONSOL_JV" hidden="1">"c8740"</definedName>
    <definedName name="IQ_HG_EXP_REIMBURSEMENTS" hidden="1">"c8743"</definedName>
    <definedName name="IQ_HG_EXP_RETAIL" hidden="1">"c8737"</definedName>
    <definedName name="IQ_HG_EXP_ROOMS" hidden="1">"c8735"</definedName>
    <definedName name="IQ_HG_EXP_THEATRE_CONCESSION" hidden="1">"c8739"</definedName>
    <definedName name="IQ_HG_EXP_VACA_OWNERSHIP_RES" hidden="1">"c8741"</definedName>
    <definedName name="IQ_HG_FOOD_PROM_COSTS" hidden="1">"c8746"</definedName>
    <definedName name="IQ_HG_FRANCHISE_HOTEL_PROPERTIES_BEG" hidden="1">"c8582"</definedName>
    <definedName name="IQ_HG_FRANCHISE_ROOMS_BEG" hidden="1">"c8612"</definedName>
    <definedName name="IQ_HG_GAMING_SPACE_JV" hidden="1">"c8635"</definedName>
    <definedName name="IQ_HG_GAMING_SPACE_MANAGED" hidden="1">"c8636"</definedName>
    <definedName name="IQ_HG_GAMING_SPACE_OWNED" hidden="1">"c8634"</definedName>
    <definedName name="IQ_HG_GAMING_SPACE_TOTAL" hidden="1">"c8637"</definedName>
    <definedName name="IQ_HG_HOTEL_PROPERTIES_BEG" hidden="1">"c8570"</definedName>
    <definedName name="IQ_HG_LAND_AVAIL_JV" hidden="1">"c8647"</definedName>
    <definedName name="IQ_HG_LAND_AVAIL_MANAGED" hidden="1">"c8648"</definedName>
    <definedName name="IQ_HG_LAND_AVAIL_OWNED" hidden="1">"c8646"</definedName>
    <definedName name="IQ_HG_LAND_AVAIL_TOTAL" hidden="1">"c8649"</definedName>
    <definedName name="IQ_HG_LAND_JV" hidden="1">"c8651"</definedName>
    <definedName name="IQ_HG_LAND_MANAGED" hidden="1">"c8652"</definedName>
    <definedName name="IQ_HG_LAND_OWNED" hidden="1">"c8650"</definedName>
    <definedName name="IQ_HG_LAND_TOTAL" hidden="1">"c8653"</definedName>
    <definedName name="IQ_HG_MANAGED_HOTEL_PROPERTIES_BEG" hidden="1">"c8588"</definedName>
    <definedName name="IQ_HG_MANAGED_ROOMS_BEG" hidden="1">"c8618"</definedName>
    <definedName name="IQ_HG_OCCUPANCY_CHANGE_FRANCHISE" hidden="1">"c8675"</definedName>
    <definedName name="IQ_HG_OCCUPANCY_CHANGE_MANAGED" hidden="1">"c8677"</definedName>
    <definedName name="IQ_HG_OCCUPANCY_CHANGE_OTHER" hidden="1">"c8679"</definedName>
    <definedName name="IQ_HG_OCCUPANCY_CHANGE_OWNED" hidden="1">"c8673"</definedName>
    <definedName name="IQ_HG_OCCUPANCY_CHANGE_OWNED_COMP" hidden="1">"c8705"</definedName>
    <definedName name="IQ_HG_OCCUPANCY_CHANGE_TOTAL" hidden="1">"c8681"</definedName>
    <definedName name="IQ_HG_OCCUPANCY_CHANGE_TOTAL_COMP" hidden="1">"c8707"</definedName>
    <definedName name="IQ_HG_OCCUPANCY_FRANCHISE" hidden="1">"c8659"</definedName>
    <definedName name="IQ_HG_OCCUPANCY_INCDEC_FRANCHISE" hidden="1">"c8676"</definedName>
    <definedName name="IQ_HG_OCCUPANCY_INCDEC_MANAGED" hidden="1">"c8678"</definedName>
    <definedName name="IQ_HG_OCCUPANCY_INCDEC_OTHER" hidden="1">"c8680"</definedName>
    <definedName name="IQ_HG_OCCUPANCY_INCDEC_OWNED" hidden="1">"c8674"</definedName>
    <definedName name="IQ_HG_OCCUPANCY_INCDEC_OWNED_COMP" hidden="1">"c8706"</definedName>
    <definedName name="IQ_HG_OCCUPANCY_INCDEC_TOTAL" hidden="1">"c8682"</definedName>
    <definedName name="IQ_HG_OCCUPANCY_INCDEC_TOTAL_COMP" hidden="1">"c8708"</definedName>
    <definedName name="IQ_HG_OCCUPANCY_MANAGED" hidden="1">"c8660"</definedName>
    <definedName name="IQ_HG_OCCUPANCY_OTHER" hidden="1">"c8661"</definedName>
    <definedName name="IQ_HG_OCCUPANCY_OWNED" hidden="1">"c8658"</definedName>
    <definedName name="IQ_HG_OCCUPANCY_OWNED_COMP" hidden="1">"c8699"</definedName>
    <definedName name="IQ_HG_OCCUPANCY_TOTAL" hidden="1">"c8662"</definedName>
    <definedName name="IQ_HG_OCCUPANCY_TOTAL_COMP" hidden="1">"c8700"</definedName>
    <definedName name="IQ_HG_OPENED_FRANCHISE_HOTEL_PROPERTIES" hidden="1">"c8583"</definedName>
    <definedName name="IQ_HG_OPENED_FRANCHISE_ROOMS" hidden="1">"c8613"</definedName>
    <definedName name="IQ_HG_OPENED_HOTEL_PROPERTIES" hidden="1">"c8571"</definedName>
    <definedName name="IQ_HG_OPENED_MANAGED_HOTEL_PROPERTIES" hidden="1">"c8589"</definedName>
    <definedName name="IQ_HG_OPENED_MANAGED_ROOMS" hidden="1">"c8619"</definedName>
    <definedName name="IQ_HG_OPENED_OTHER_HOTEL_PROPERTIES" hidden="1">"c8595"</definedName>
    <definedName name="IQ_HG_OPENED_OTHER_ROOMS" hidden="1">"c8625"</definedName>
    <definedName name="IQ_HG_OPENED_OWNED_HOTEL_PROPERTIES" hidden="1">"c8577"</definedName>
    <definedName name="IQ_HG_OPENED_OWNED_ROOMS" hidden="1">"c8607"</definedName>
    <definedName name="IQ_HG_OPENED_ROOMS" hidden="1">"c8601"</definedName>
    <definedName name="IQ_HG_OTHER_HOTEL_PROPERTIES_BEG" hidden="1">"c8594"</definedName>
    <definedName name="IQ_HG_OTHER_PROM_COSTS" hidden="1">"c8747"</definedName>
    <definedName name="IQ_HG_OTHER_ROOMS_BEG" hidden="1">"c8624"</definedName>
    <definedName name="IQ_HG_OWNED_HOTEL_PROPERTIES_BEG" hidden="1">"c8576"</definedName>
    <definedName name="IQ_HG_OWNED_ROOMS_BEG" hidden="1">"c8606"</definedName>
    <definedName name="IQ_HG_PARKING_SPACES_JV" hidden="1">"c8655"</definedName>
    <definedName name="IQ_HG_PARKING_SPACES_MANAGED" hidden="1">"c8656"</definedName>
    <definedName name="IQ_HG_PARKING_SPACES_OWNED" hidden="1">"c8654"</definedName>
    <definedName name="IQ_HG_PARKING_SPACES_TOTAL" hidden="1">"c8657"</definedName>
    <definedName name="IQ_HG_REV_BASE_MANAGEMENT_FEES" hidden="1">"c8726"</definedName>
    <definedName name="IQ_HG_REV_CASINO" hidden="1">"c8713"</definedName>
    <definedName name="IQ_HG_REV_COST_REIMBURSEMENT" hidden="1">"c8728"</definedName>
    <definedName name="IQ_HG_REV_ENTERTAINMENT" hidden="1">"c8716"</definedName>
    <definedName name="IQ_HG_REV_FOOD_BEV" hidden="1">"c8714"</definedName>
    <definedName name="IQ_HG_REV_FRANCHISE" hidden="1">"c8725"</definedName>
    <definedName name="IQ_HG_REV_INCENTIVE_MANAGEMENT_FEES" hidden="1">"c8727"</definedName>
    <definedName name="IQ_HG_REV_MANAGEMENT_FEES" hidden="1">"c8718"</definedName>
    <definedName name="IQ_HG_REV_OTHER_MNGD_FRANCHISE_PROP" hidden="1">"c8730"</definedName>
    <definedName name="IQ_HG_REV_OTHER_OP_SEGMENT" hidden="1">"c8721"</definedName>
    <definedName name="IQ_HG_REV_OTHER_OWNERSHIP_MIX" hidden="1">"c8731"</definedName>
    <definedName name="IQ_HG_REV_OWNED_LEASED_CONSOL_JV_HOTELS" hidden="1">"c8724"</definedName>
    <definedName name="IQ_HG_REV_PROMOTIONAL_ALLOWANCE" hidden="1">"c8722"</definedName>
    <definedName name="IQ_HG_REV_RACING" hidden="1">"c8719"</definedName>
    <definedName name="IQ_HG_REV_RETAIL" hidden="1">"c8717"</definedName>
    <definedName name="IQ_HG_REV_ROOMS" hidden="1">"c8715"</definedName>
    <definedName name="IQ_HG_REV_THEATRE_CONCESSION" hidden="1">"c8720"</definedName>
    <definedName name="IQ_HG_REV_TOTAL_OP_SEGMENT" hidden="1">"c8723"</definedName>
    <definedName name="IQ_HG_REV_TOTAL_OWNERSHIP_MIX" hidden="1">"c8732"</definedName>
    <definedName name="IQ_HG_REV_VACA_OWNERSHIP_RES_SALES_SVCS" hidden="1">"c8729"</definedName>
    <definedName name="IQ_HG_REVENUES_CHANGE_OWNED_COMP" hidden="1">"c8697"</definedName>
    <definedName name="IQ_HG_REVENUES_CHANGE_TOTAL_COMP" hidden="1">"c8698"</definedName>
    <definedName name="IQ_HG_REVPAR_CHANGE_MANAGED" hidden="1">"c8690"</definedName>
    <definedName name="IQ_HG_REVPAR_CHANGE_OTHER" hidden="1">"c8691"</definedName>
    <definedName name="IQ_HG_REVPAR_CHANGE_OWNED" hidden="1">"c8688"</definedName>
    <definedName name="IQ_HG_REVPAR_CHANGE_OWNED_COMP" hidden="1">"c8711"</definedName>
    <definedName name="IQ_HG_REVPAR_CHANGE_TOTAL" hidden="1">"c8692"</definedName>
    <definedName name="IQ_HG_REVPAR_CHANGE_TOTAL_COMP" hidden="1">"c8712"</definedName>
    <definedName name="IQ_HG_REVPAR_CHNAGE_FRANCHISE" hidden="1">"c8689"</definedName>
    <definedName name="IQ_HG_REVPAR_FRANCHISE" hidden="1">"c8669"</definedName>
    <definedName name="IQ_HG_REVPAR_MANAGED" hidden="1">"c8670"</definedName>
    <definedName name="IQ_HG_REVPAR_OTHER" hidden="1">"c8671"</definedName>
    <definedName name="IQ_HG_REVPAR_OWNED" hidden="1">"c8668"</definedName>
    <definedName name="IQ_HG_REVPAR_OWNED_COMP" hidden="1">"c8703"</definedName>
    <definedName name="IQ_HG_REVPAR_TOTAL" hidden="1">"c8672"</definedName>
    <definedName name="IQ_HG_REVPAR_TOTAL_COMP" hidden="1">"c8704"</definedName>
    <definedName name="IQ_HG_ROOM_PROM_COSTS" hidden="1">"c8745"</definedName>
    <definedName name="IQ_HG_ROOMS_BEG" hidden="1">"c8600"</definedName>
    <definedName name="IQ_HG_SLOT_MACHINES_JV" hidden="1">"c8639"</definedName>
    <definedName name="IQ_HG_SLOT_MACHINES_MANAGED" hidden="1">"c8640"</definedName>
    <definedName name="IQ_HG_SLOT_MACHINES_OWNED" hidden="1">"c8638"</definedName>
    <definedName name="IQ_HG_SLOT_MACHINES_TOTAL" hidden="1">"c8641"</definedName>
    <definedName name="IQ_HG_SOLD_FRANCHISE_HOTEL_PROPERTIES" hidden="1">"c8585"</definedName>
    <definedName name="IQ_HG_SOLD_FRANCHISE_ROOMS" hidden="1">"c8615"</definedName>
    <definedName name="IQ_HG_SOLD_HOTEL_PROPERTIES" hidden="1">"c8573"</definedName>
    <definedName name="IQ_HG_SOLD_MANAGED_HOTEL_PROPERTIES" hidden="1">"c8591"</definedName>
    <definedName name="IQ_HG_SOLD_MANAGED_ROOMS" hidden="1">"c8621"</definedName>
    <definedName name="IQ_HG_SOLD_OTHER_HOTEL_PROPERTIES" hidden="1">"c8597"</definedName>
    <definedName name="IQ_HG_SOLD_OTHER_ROOMS" hidden="1">"c8627"</definedName>
    <definedName name="IQ_HG_SOLD_OWNED_HOTEL_PROPERTIES" hidden="1">"c8579"</definedName>
    <definedName name="IQ_HG_SOLD_OWNED_ROOMS" hidden="1">"c8609"</definedName>
    <definedName name="IQ_HG_SOLD_ROOMS" hidden="1">"c8603"</definedName>
    <definedName name="IQ_HG_TABLE_GAMES_JV" hidden="1">"c8643"</definedName>
    <definedName name="IQ_HG_TABLE_GAMES_MANAGED" hidden="1">"c8644"</definedName>
    <definedName name="IQ_HG_TABLE_GAMES_OWNED" hidden="1">"c8642"</definedName>
    <definedName name="IQ_HG_TABLE_GAMES_TOTAL" hidden="1">"c8645"</definedName>
    <definedName name="IQ_HG_TOTAL_FRANCHISE_HOTEL_PROPERTIES" hidden="1">"c8587"</definedName>
    <definedName name="IQ_HG_TOTAL_FRANCHISE_ROOMS" hidden="1">"c8617"</definedName>
    <definedName name="IQ_HG_TOTAL_HOTEL_PROPERTIES" hidden="1">"c8575"</definedName>
    <definedName name="IQ_HG_TOTAL_MANAGED_HOTEL_PROPERTIES" hidden="1">"c8593"</definedName>
    <definedName name="IQ_HG_TOTAL_MANAGED_ROOMS" hidden="1">"c8623"</definedName>
    <definedName name="IQ_HG_TOTAL_OTHER_HOTEL_PROPERTIES" hidden="1">"c8599"</definedName>
    <definedName name="IQ_HG_TOTAL_OTHER_ROOMS" hidden="1">"c8629"</definedName>
    <definedName name="IQ_HG_TOTAL_OWNED_HOTEL_PROPERTIES" hidden="1">"c8581"</definedName>
    <definedName name="IQ_HG_TOTAL_OWNED_PROPERTIES_COMP" hidden="1">"c8693"</definedName>
    <definedName name="IQ_HG_TOTAL_OWNED_ROOMS" hidden="1">"c8611"</definedName>
    <definedName name="IQ_HG_TOTAL_OWNED_ROOMS_COMP" hidden="1">"c8695"</definedName>
    <definedName name="IQ_HG_TOTAL_PROM_COSTS" hidden="1">"c8748"</definedName>
    <definedName name="IQ_HG_TOTAL_PROPERTIES_COMP" hidden="1">"c8694"</definedName>
    <definedName name="IQ_HG_TOTAL_ROOMS" hidden="1">"c8605"</definedName>
    <definedName name="IQ_HG_TOTAL_ROOMS_COMP" hidden="1">"c8696"</definedName>
    <definedName name="IQ_HIGH_LOW_CLOSEPRICE_DATE" hidden="1">"c1204"</definedName>
    <definedName name="IQ_HIGH_TARGET_PRICE" hidden="1">"c1651"</definedName>
    <definedName name="IQ_HIGH_TARGET_PRICE_CIQ" hidden="1">"c4659"</definedName>
    <definedName name="IQ_HIGH_TARGET_PRICE_THOM" hidden="1">"c5096"</definedName>
    <definedName name="IQ_HIGHPRICE" hidden="1">"c545"</definedName>
    <definedName name="IQ_HOLDER_CIQID" hidden="1">"c13787"</definedName>
    <definedName name="IQ_HOLDER_CIQID_SECURITY" hidden="1">"c13794"</definedName>
    <definedName name="IQ_HOLDER_DERIVATIVES" hidden="1">"c13789"</definedName>
    <definedName name="IQ_HOLDER_DERIVATIVES_SECURITY" hidden="1">"c13796"</definedName>
    <definedName name="IQ_HOLDER_NAME" hidden="1">"c13786"</definedName>
    <definedName name="IQ_HOLDER_NAME_SECURITY" hidden="1">"c13793"</definedName>
    <definedName name="IQ_HOLDER_PERCENT" hidden="1">"c13790"</definedName>
    <definedName name="IQ_HOLDER_PERCENT_SECURITY" hidden="1">"c13831"</definedName>
    <definedName name="IQ_HOLDER_POSITION_DATE" hidden="1">"c13792"</definedName>
    <definedName name="IQ_HOLDER_POSITION_DATE_SECURITY" hidden="1">"c13798"</definedName>
    <definedName name="IQ_HOLDER_SHARES" hidden="1">"c13788"</definedName>
    <definedName name="IQ_HOLDER_SHARES_SECURITY" hidden="1">"c13795"</definedName>
    <definedName name="IQ_HOLDER_VALUE" hidden="1">"c13791"</definedName>
    <definedName name="IQ_HOLDER_VALUE_SECURITY" hidden="1">"c13797"</definedName>
    <definedName name="IQ_HOLDING_CIQID" hidden="1">"c13802"</definedName>
    <definedName name="IQ_HOLDING_NAME" hidden="1">"c13799"</definedName>
    <definedName name="IQ_HOLDING_PERCENT" hidden="1">"c13805"</definedName>
    <definedName name="IQ_HOLDING_PERCENT_PORTFOLIO" hidden="1">"c13806"</definedName>
    <definedName name="IQ_HOLDING_POSITION_DATE" hidden="1">"c13808"</definedName>
    <definedName name="IQ_HOLDING_SECURITY_TYPE" hidden="1">"c13803"</definedName>
    <definedName name="IQ_HOLDING_SHARES" hidden="1">"c13804"</definedName>
    <definedName name="IQ_HOLDING_TICKER" hidden="1">"c13800"</definedName>
    <definedName name="IQ_HOLDING_TRADING_ITEM_CIQID" hidden="1">"c13801"</definedName>
    <definedName name="IQ_HOLDING_VALUE" hidden="1">"c13807"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ANS_TOT_LOANS_FFIEC" hidden="1">"c13867"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SALES_NEW" hidden="1">"c6924"</definedName>
    <definedName name="IQ_HOME_SALES_NEW_APR" hidden="1">"c7584"</definedName>
    <definedName name="IQ_HOME_SALES_NEW_APR_FC" hidden="1">"c8464"</definedName>
    <definedName name="IQ_HOME_SALES_NEW_FC" hidden="1">"c7804"</definedName>
    <definedName name="IQ_HOME_SALES_NEW_POP" hidden="1">"c7144"</definedName>
    <definedName name="IQ_HOME_SALES_NEW_POP_FC" hidden="1">"c8024"</definedName>
    <definedName name="IQ_HOME_SALES_NEW_YOY" hidden="1">"c7364"</definedName>
    <definedName name="IQ_HOME_SALES_NEW_YOY_FC" hidden="1">"c8244"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HOURLY_COMP" hidden="1">"c6879"</definedName>
    <definedName name="IQ_HOURLY_COMP_APR" hidden="1">"c7539"</definedName>
    <definedName name="IQ_HOURLY_COMP_APR_FC" hidden="1">"c8419"</definedName>
    <definedName name="IQ_HOURLY_COMP_FC" hidden="1">"c7759"</definedName>
    <definedName name="IQ_HOURLY_COMP_POP" hidden="1">"c7099"</definedName>
    <definedName name="IQ_HOURLY_COMP_POP_FC" hidden="1">"c7979"</definedName>
    <definedName name="IQ_HOURLY_COMP_YOY" hidden="1">"c7319"</definedName>
    <definedName name="IQ_HOURLY_COMP_YOY_FC" hidden="1">"c8199"</definedName>
    <definedName name="IQ_HOUSING_COMPLETIONS" hidden="1">"c6881"</definedName>
    <definedName name="IQ_HOUSING_COMPLETIONS_APR" hidden="1">"c7541"</definedName>
    <definedName name="IQ_HOUSING_COMPLETIONS_APR_FC" hidden="1">"c8421"</definedName>
    <definedName name="IQ_HOUSING_COMPLETIONS_FC" hidden="1">"c7761"</definedName>
    <definedName name="IQ_HOUSING_COMPLETIONS_POP" hidden="1">"c7101"</definedName>
    <definedName name="IQ_HOUSING_COMPLETIONS_POP_FC" hidden="1">"c7981"</definedName>
    <definedName name="IQ_HOUSING_COMPLETIONS_SINGLE_FAM_APR_FC_UNUSED" hidden="1">"c8422"</definedName>
    <definedName name="IQ_HOUSING_COMPLETIONS_SINGLE_FAM_APR_UNUSED" hidden="1">"c7542"</definedName>
    <definedName name="IQ_HOUSING_COMPLETIONS_SINGLE_FAM_FC_UNUSED" hidden="1">"c7762"</definedName>
    <definedName name="IQ_HOUSING_COMPLETIONS_SINGLE_FAM_POP_FC_UNUSED" hidden="1">"c7982"</definedName>
    <definedName name="IQ_HOUSING_COMPLETIONS_SINGLE_FAM_POP_UNUSED" hidden="1">"c7102"</definedName>
    <definedName name="IQ_HOUSING_COMPLETIONS_SINGLE_FAM_UNUSED" hidden="1">"c6882"</definedName>
    <definedName name="IQ_HOUSING_COMPLETIONS_SINGLE_FAM_YOY_FC_UNUSED" hidden="1">"c8202"</definedName>
    <definedName name="IQ_HOUSING_COMPLETIONS_SINGLE_FAM_YOY_UNUSED" hidden="1">"c7322"</definedName>
    <definedName name="IQ_HOUSING_COMPLETIONS_YOY" hidden="1">"c7321"</definedName>
    <definedName name="IQ_HOUSING_COMPLETIONS_YOY_FC" hidden="1">"c8201"</definedName>
    <definedName name="IQ_HOUSING_PERMITS" hidden="1">"c6883"</definedName>
    <definedName name="IQ_HOUSING_PERMITS_APR" hidden="1">"c7543"</definedName>
    <definedName name="IQ_HOUSING_PERMITS_APR_FC" hidden="1">"c8423"</definedName>
    <definedName name="IQ_HOUSING_PERMITS_FC" hidden="1">"c7763"</definedName>
    <definedName name="IQ_HOUSING_PERMITS_POP" hidden="1">"c7103"</definedName>
    <definedName name="IQ_HOUSING_PERMITS_POP_FC" hidden="1">"c7983"</definedName>
    <definedName name="IQ_HOUSING_PERMITS_YOY" hidden="1">"c7323"</definedName>
    <definedName name="IQ_HOUSING_PERMITS_YOY_FC" hidden="1">"c8203"</definedName>
    <definedName name="IQ_HOUSING_STARTS" hidden="1">"c6884"</definedName>
    <definedName name="IQ_HOUSING_STARTS_APR" hidden="1">"c7544"</definedName>
    <definedName name="IQ_HOUSING_STARTS_APR_FC" hidden="1">"c8424"</definedName>
    <definedName name="IQ_HOUSING_STARTS_FC" hidden="1">"c7764"</definedName>
    <definedName name="IQ_HOUSING_STARTS_POP" hidden="1">"c7104"</definedName>
    <definedName name="IQ_HOUSING_STARTS_POP_FC" hidden="1">"c7984"</definedName>
    <definedName name="IQ_HOUSING_STARTS_SAAR" hidden="1">"c6885"</definedName>
    <definedName name="IQ_HOUSING_STARTS_SAAR_APR" hidden="1">"c7545"</definedName>
    <definedName name="IQ_HOUSING_STARTS_SAAR_APR_FC" hidden="1">"c8425"</definedName>
    <definedName name="IQ_HOUSING_STARTS_SAAR_FC" hidden="1">"c7765"</definedName>
    <definedName name="IQ_HOUSING_STARTS_SAAR_POP" hidden="1">"c7105"</definedName>
    <definedName name="IQ_HOUSING_STARTS_SAAR_POP_FC" hidden="1">"c7985"</definedName>
    <definedName name="IQ_HOUSING_STARTS_SAAR_YOY" hidden="1">"c7325"</definedName>
    <definedName name="IQ_HOUSING_STARTS_SAAR_YOY_FC" hidden="1">"c8205"</definedName>
    <definedName name="IQ_HOUSING_STARTS_YOY" hidden="1">"c7324"</definedName>
    <definedName name="IQ_HOUSING_STARTS_YOY_FC" hidden="1">"c8204"</definedName>
    <definedName name="IQ_HRS_WORKED_FULL_PT" hidden="1">"c6880"</definedName>
    <definedName name="IQ_HRS_WORKED_FULL_PT_APR" hidden="1">"c7540"</definedName>
    <definedName name="IQ_HRS_WORKED_FULL_PT_APR_FC" hidden="1">"c8420"</definedName>
    <definedName name="IQ_HRS_WORKED_FULL_PT_FC" hidden="1">"c7760"</definedName>
    <definedName name="IQ_HRS_WORKED_FULL_PT_POP" hidden="1">"c7100"</definedName>
    <definedName name="IQ_HRS_WORKED_FULL_PT_POP_FC" hidden="1">"c7980"</definedName>
    <definedName name="IQ_HRS_WORKED_FULL_PT_YOY" hidden="1">"c7320"</definedName>
    <definedName name="IQ_HRS_WORKED_FULL_PT_YOY_FC" hidden="1">"c8200"</definedName>
    <definedName name="IQ_HTM_INVEST_SECURITIES_FFIEC" hidden="1">"c13455"</definedName>
    <definedName name="IQ_HTM_SECURITIES_TIER_1_FFIEC" hidden="1">"c13342"</definedName>
    <definedName name="IQ_IM_AVG_REV_PER_CLICK" hidden="1">"c9991"</definedName>
    <definedName name="IQ_IM_NUMBER_PAGE_VIEWS" hidden="1">"c9993"</definedName>
    <definedName name="IQ_IM_NUMBER_PAID_CLICKS" hidden="1">"c9995"</definedName>
    <definedName name="IQ_IM_NUMBER_PAID_CLICKS_GROWTH" hidden="1">"c9996"</definedName>
    <definedName name="IQ_IM_PAGE_VIEWS_GROWTH" hidden="1">"c9994"</definedName>
    <definedName name="IQ_IM_REV_PER_PAGE_VIEW_GROWTH" hidden="1">"c9992"</definedName>
    <definedName name="IQ_IM_TRAFFIC_ACQUISITION_CHANGE" hidden="1">"c9998"</definedName>
    <definedName name="IQ_IM_TRAFFIC_ACQUISITION_COST_TO_AD_REV_RATIO" hidden="1">"c10000"</definedName>
    <definedName name="IQ_IM_TRAFFIC_ACQUISITION_COST_TO_TOTAL_REV_RATIO" hidden="1">"c9999"</definedName>
    <definedName name="IQ_IM_TRAFFIC_ACQUISITION_COSTS" hidden="1">"c9997"</definedName>
    <definedName name="IQ_IMPAIR_OIL" hidden="1">"c547"</definedName>
    <definedName name="IQ_IMPAIRMENT_GW" hidden="1">"c548"</definedName>
    <definedName name="IQ_IMPAIRMENT_GW_SUPPLE" hidden="1">"c13811"</definedName>
    <definedName name="IQ_IMPORT_PRICE_INDEX" hidden="1">"c6886"</definedName>
    <definedName name="IQ_IMPORT_PRICE_INDEX_APR" hidden="1">"c7546"</definedName>
    <definedName name="IQ_IMPORT_PRICE_INDEX_APR_FC" hidden="1">"c8426"</definedName>
    <definedName name="IQ_IMPORT_PRICE_INDEX_FC" hidden="1">"c7766"</definedName>
    <definedName name="IQ_IMPORT_PRICE_INDEX_POP" hidden="1">"c7106"</definedName>
    <definedName name="IQ_IMPORT_PRICE_INDEX_POP_FC" hidden="1">"c7986"</definedName>
    <definedName name="IQ_IMPORT_PRICE_INDEX_YOY" hidden="1">"c7326"</definedName>
    <definedName name="IQ_IMPORT_PRICE_INDEX_YOY_FC" hidden="1">"c8206"</definedName>
    <definedName name="IQ_IMPORTS_GOODS" hidden="1">"c6887"</definedName>
    <definedName name="IQ_IMPORTS_GOODS_APR" hidden="1">"c7547"</definedName>
    <definedName name="IQ_IMPORTS_GOODS_APR_FC" hidden="1">"c8427"</definedName>
    <definedName name="IQ_IMPORTS_GOODS_FC" hidden="1">"c7767"</definedName>
    <definedName name="IQ_IMPORTS_GOODS_NONFACTOR_SERVICES" hidden="1">"c6888"</definedName>
    <definedName name="IQ_IMPORTS_GOODS_NONFACTOR_SERVICES_APR" hidden="1">"c7548"</definedName>
    <definedName name="IQ_IMPORTS_GOODS_NONFACTOR_SERVICES_APR_FC" hidden="1">"c8428"</definedName>
    <definedName name="IQ_IMPORTS_GOODS_NONFACTOR_SERVICES_FC" hidden="1">"c7768"</definedName>
    <definedName name="IQ_IMPORTS_GOODS_NONFACTOR_SERVICES_POP" hidden="1">"c7108"</definedName>
    <definedName name="IQ_IMPORTS_GOODS_NONFACTOR_SERVICES_POP_FC" hidden="1">"c7988"</definedName>
    <definedName name="IQ_IMPORTS_GOODS_NONFACTOR_SERVICES_YOY" hidden="1">"c7328"</definedName>
    <definedName name="IQ_IMPORTS_GOODS_NONFACTOR_SERVICES_YOY_FC" hidden="1">"c8208"</definedName>
    <definedName name="IQ_IMPORTS_GOODS_POP" hidden="1">"c7107"</definedName>
    <definedName name="IQ_IMPORTS_GOODS_POP_FC" hidden="1">"c7987"</definedName>
    <definedName name="IQ_IMPORTS_GOODS_REAL" hidden="1">"c11950"</definedName>
    <definedName name="IQ_IMPORTS_GOODS_REAL_APR" hidden="1">"c11953"</definedName>
    <definedName name="IQ_IMPORTS_GOODS_REAL_POP" hidden="1">"c11951"</definedName>
    <definedName name="IQ_IMPORTS_GOODS_REAL_SAAR_APR_FC_UNUSED" hidden="1">"c8523"</definedName>
    <definedName name="IQ_IMPORTS_GOODS_REAL_SAAR_APR_UNUSED" hidden="1">"c7643"</definedName>
    <definedName name="IQ_IMPORTS_GOODS_REAL_SAAR_FC_UNUSED" hidden="1">"c7863"</definedName>
    <definedName name="IQ_IMPORTS_GOODS_REAL_SAAR_POP_FC_UNUSED" hidden="1">"c8083"</definedName>
    <definedName name="IQ_IMPORTS_GOODS_REAL_SAAR_POP_UNUSED" hidden="1">"c7203"</definedName>
    <definedName name="IQ_IMPORTS_GOODS_REAL_SAAR_UNUSED" hidden="1">"c6983"</definedName>
    <definedName name="IQ_IMPORTS_GOODS_REAL_SAAR_YOY_FC_UNUSED" hidden="1">"c8303"</definedName>
    <definedName name="IQ_IMPORTS_GOODS_REAL_SAAR_YOY_UNUSED" hidden="1">"c7423"</definedName>
    <definedName name="IQ_IMPORTS_GOODS_REAL_YOY" hidden="1">"c11952"</definedName>
    <definedName name="IQ_IMPORTS_GOODS_SAAR" hidden="1">"c6891"</definedName>
    <definedName name="IQ_IMPORTS_GOODS_SAAR_APR" hidden="1">"c7551"</definedName>
    <definedName name="IQ_IMPORTS_GOODS_SAAR_APR_FC" hidden="1">"c8431"</definedName>
    <definedName name="IQ_IMPORTS_GOODS_SAAR_FC" hidden="1">"c7771"</definedName>
    <definedName name="IQ_IMPORTS_GOODS_SAAR_POP" hidden="1">"c7111"</definedName>
    <definedName name="IQ_IMPORTS_GOODS_SAAR_POP_FC" hidden="1">"c7991"</definedName>
    <definedName name="IQ_IMPORTS_GOODS_SAAR_USD_APR_FC" hidden="1">"c11849"</definedName>
    <definedName name="IQ_IMPORTS_GOODS_SAAR_USD_FC" hidden="1">"c11846"</definedName>
    <definedName name="IQ_IMPORTS_GOODS_SAAR_USD_POP_FC" hidden="1">"c11847"</definedName>
    <definedName name="IQ_IMPORTS_GOODS_SAAR_USD_YOY_FC" hidden="1">"c11848"</definedName>
    <definedName name="IQ_IMPORTS_GOODS_SAAR_YOY" hidden="1">"c7331"</definedName>
    <definedName name="IQ_IMPORTS_GOODS_SAAR_YOY_FC" hidden="1">"c8211"</definedName>
    <definedName name="IQ_IMPORTS_GOODS_SERVICES_APR_FC_UNUSED" hidden="1">"c8429"</definedName>
    <definedName name="IQ_IMPORTS_GOODS_SERVICES_APR_UNUSED" hidden="1">"c7549"</definedName>
    <definedName name="IQ_IMPORTS_GOODS_SERVICES_FC_UNUSED" hidden="1">"c7769"</definedName>
    <definedName name="IQ_IMPORTS_GOODS_SERVICES_POP_FC_UNUSED" hidden="1">"c7989"</definedName>
    <definedName name="IQ_IMPORTS_GOODS_SERVICES_POP_UNUSED" hidden="1">"c7109"</definedName>
    <definedName name="IQ_IMPORTS_GOODS_SERVICES_REAL" hidden="1">"c6985"</definedName>
    <definedName name="IQ_IMPORTS_GOODS_SERVICES_REAL_APR" hidden="1">"c7645"</definedName>
    <definedName name="IQ_IMPORTS_GOODS_SERVICES_REAL_APR_FC" hidden="1">"c8525"</definedName>
    <definedName name="IQ_IMPORTS_GOODS_SERVICES_REAL_FC" hidden="1">"c7865"</definedName>
    <definedName name="IQ_IMPORTS_GOODS_SERVICES_REAL_POP" hidden="1">"c7205"</definedName>
    <definedName name="IQ_IMPORTS_GOODS_SERVICES_REAL_POP_FC" hidden="1">"c8085"</definedName>
    <definedName name="IQ_IMPORTS_GOODS_SERVICES_REAL_SAAR" hidden="1">"c11958"</definedName>
    <definedName name="IQ_IMPORTS_GOODS_SERVICES_REAL_SAAR_APR" hidden="1">"c11961"</definedName>
    <definedName name="IQ_IMPORTS_GOODS_SERVICES_REAL_SAAR_APR_FC_UNUSED" hidden="1">"c8524"</definedName>
    <definedName name="IQ_IMPORTS_GOODS_SERVICES_REAL_SAAR_APR_UNUSED" hidden="1">"c7644"</definedName>
    <definedName name="IQ_IMPORTS_GOODS_SERVICES_REAL_SAAR_FC_UNUSED" hidden="1">"c7864"</definedName>
    <definedName name="IQ_IMPORTS_GOODS_SERVICES_REAL_SAAR_POP" hidden="1">"c11959"</definedName>
    <definedName name="IQ_IMPORTS_GOODS_SERVICES_REAL_SAAR_POP_FC_UNUSED" hidden="1">"c8084"</definedName>
    <definedName name="IQ_IMPORTS_GOODS_SERVICES_REAL_SAAR_POP_UNUSED" hidden="1">"c7204"</definedName>
    <definedName name="IQ_IMPORTS_GOODS_SERVICES_REAL_SAAR_UNUSED" hidden="1">"c6984"</definedName>
    <definedName name="IQ_IMPORTS_GOODS_SERVICES_REAL_SAAR_USD" hidden="1">"c11962"</definedName>
    <definedName name="IQ_IMPORTS_GOODS_SERVICES_REAL_SAAR_USD_APR" hidden="1">"c11965"</definedName>
    <definedName name="IQ_IMPORTS_GOODS_SERVICES_REAL_SAAR_USD_APR_FC" hidden="1">"c11969"</definedName>
    <definedName name="IQ_IMPORTS_GOODS_SERVICES_REAL_SAAR_USD_FC" hidden="1">"c11966"</definedName>
    <definedName name="IQ_IMPORTS_GOODS_SERVICES_REAL_SAAR_USD_POP" hidden="1">"c11963"</definedName>
    <definedName name="IQ_IMPORTS_GOODS_SERVICES_REAL_SAAR_USD_POP_FC" hidden="1">"c11967"</definedName>
    <definedName name="IQ_IMPORTS_GOODS_SERVICES_REAL_SAAR_USD_YOY" hidden="1">"c11964"</definedName>
    <definedName name="IQ_IMPORTS_GOODS_SERVICES_REAL_SAAR_USD_YOY_FC" hidden="1">"c11968"</definedName>
    <definedName name="IQ_IMPORTS_GOODS_SERVICES_REAL_SAAR_YOY" hidden="1">"c11960"</definedName>
    <definedName name="IQ_IMPORTS_GOODS_SERVICES_REAL_SAAR_YOY_FC_UNUSED" hidden="1">"c8304"</definedName>
    <definedName name="IQ_IMPORTS_GOODS_SERVICES_REAL_SAAR_YOY_UNUSED" hidden="1">"c7424"</definedName>
    <definedName name="IQ_IMPORTS_GOODS_SERVICES_REAL_USD" hidden="1">"c11954"</definedName>
    <definedName name="IQ_IMPORTS_GOODS_SERVICES_REAL_USD_APR" hidden="1">"c11957"</definedName>
    <definedName name="IQ_IMPORTS_GOODS_SERVICES_REAL_USD_POP" hidden="1">"c11955"</definedName>
    <definedName name="IQ_IMPORTS_GOODS_SERVICES_REAL_USD_YOY" hidden="1">"c11956"</definedName>
    <definedName name="IQ_IMPORTS_GOODS_SERVICES_REAL_YOY" hidden="1">"c7425"</definedName>
    <definedName name="IQ_IMPORTS_GOODS_SERVICES_REAL_YOY_FC" hidden="1">"c8305"</definedName>
    <definedName name="IQ_IMPORTS_GOODS_SERVICES_SAAR" hidden="1">"c6890"</definedName>
    <definedName name="IQ_IMPORTS_GOODS_SERVICES_SAAR_APR" hidden="1">"c7550"</definedName>
    <definedName name="IQ_IMPORTS_GOODS_SERVICES_SAAR_APR_FC" hidden="1">"c8430"</definedName>
    <definedName name="IQ_IMPORTS_GOODS_SERVICES_SAAR_FC" hidden="1">"c7770"</definedName>
    <definedName name="IQ_IMPORTS_GOODS_SERVICES_SAAR_POP" hidden="1">"c7110"</definedName>
    <definedName name="IQ_IMPORTS_GOODS_SERVICES_SAAR_POP_FC" hidden="1">"c7990"</definedName>
    <definedName name="IQ_IMPORTS_GOODS_SERVICES_SAAR_YOY" hidden="1">"c7330"</definedName>
    <definedName name="IQ_IMPORTS_GOODS_SERVICES_SAAR_YOY_FC" hidden="1">"c8210"</definedName>
    <definedName name="IQ_IMPORTS_GOODS_SERVICES_UNUSED" hidden="1">"c6889"</definedName>
    <definedName name="IQ_IMPORTS_GOODS_SERVICES_USD" hidden="1">"c11842"</definedName>
    <definedName name="IQ_IMPORTS_GOODS_SERVICES_USD_APR" hidden="1">"c11845"</definedName>
    <definedName name="IQ_IMPORTS_GOODS_SERVICES_USD_POP" hidden="1">"c11843"</definedName>
    <definedName name="IQ_IMPORTS_GOODS_SERVICES_USD_YOY" hidden="1">"c11844"</definedName>
    <definedName name="IQ_IMPORTS_GOODS_SERVICES_YOY_FC_UNUSED" hidden="1">"c8209"</definedName>
    <definedName name="IQ_IMPORTS_GOODS_SERVICES_YOY_UNUSED" hidden="1">"c7329"</definedName>
    <definedName name="IQ_IMPORTS_GOODS_USD_APR_FC" hidden="1">"c11841"</definedName>
    <definedName name="IQ_IMPORTS_GOODS_USD_FC" hidden="1">"c11838"</definedName>
    <definedName name="IQ_IMPORTS_GOODS_USD_POP_FC" hidden="1">"c11839"</definedName>
    <definedName name="IQ_IMPORTS_GOODS_USD_YOY_FC" hidden="1">"c11840"</definedName>
    <definedName name="IQ_IMPORTS_GOODS_YOY" hidden="1">"c7327"</definedName>
    <definedName name="IQ_IMPORTS_GOODS_YOY_FC" hidden="1">"c8207"</definedName>
    <definedName name="IQ_IMPORTS_NONFACTOR_SERVICES" hidden="1">"c6892"</definedName>
    <definedName name="IQ_IMPORTS_NONFACTOR_SERVICES_APR" hidden="1">"c7552"</definedName>
    <definedName name="IQ_IMPORTS_NONFACTOR_SERVICES_APR_FC" hidden="1">"c8432"</definedName>
    <definedName name="IQ_IMPORTS_NONFACTOR_SERVICES_FC" hidden="1">"c7772"</definedName>
    <definedName name="IQ_IMPORTS_NONFACTOR_SERVICES_POP" hidden="1">"c7112"</definedName>
    <definedName name="IQ_IMPORTS_NONFACTOR_SERVICES_POP_FC" hidden="1">"c7992"</definedName>
    <definedName name="IQ_IMPORTS_NONFACTOR_SERVICES_SAAR" hidden="1">"c6893"</definedName>
    <definedName name="IQ_IMPORTS_NONFACTOR_SERVICES_SAAR_APR" hidden="1">"c7553"</definedName>
    <definedName name="IQ_IMPORTS_NONFACTOR_SERVICES_SAAR_APR_FC" hidden="1">"c8433"</definedName>
    <definedName name="IQ_IMPORTS_NONFACTOR_SERVICES_SAAR_FC" hidden="1">"c7773"</definedName>
    <definedName name="IQ_IMPORTS_NONFACTOR_SERVICES_SAAR_POP" hidden="1">"c7113"</definedName>
    <definedName name="IQ_IMPORTS_NONFACTOR_SERVICES_SAAR_POP_FC" hidden="1">"c7993"</definedName>
    <definedName name="IQ_IMPORTS_NONFACTOR_SERVICES_SAAR_USD_APR_FC" hidden="1">"c11857"</definedName>
    <definedName name="IQ_IMPORTS_NONFACTOR_SERVICES_SAAR_USD_FC" hidden="1">"c11854"</definedName>
    <definedName name="IQ_IMPORTS_NONFACTOR_SERVICES_SAAR_USD_POP_FC" hidden="1">"c11855"</definedName>
    <definedName name="IQ_IMPORTS_NONFACTOR_SERVICES_SAAR_USD_YOY_FC" hidden="1">"c11856"</definedName>
    <definedName name="IQ_IMPORTS_NONFACTOR_SERVICES_SAAR_YOY" hidden="1">"c7333"</definedName>
    <definedName name="IQ_IMPORTS_NONFACTOR_SERVICES_SAAR_YOY_FC" hidden="1">"c8213"</definedName>
    <definedName name="IQ_IMPORTS_NONFACTOR_SERVICES_USD_APR_FC" hidden="1">"c11853"</definedName>
    <definedName name="IQ_IMPORTS_NONFACTOR_SERVICES_USD_FC" hidden="1">"c11850"</definedName>
    <definedName name="IQ_IMPORTS_NONFACTOR_SERVICES_USD_POP_FC" hidden="1">"c11851"</definedName>
    <definedName name="IQ_IMPORTS_NONFACTOR_SERVICES_USD_YOY_FC" hidden="1">"c11852"</definedName>
    <definedName name="IQ_IMPORTS_NONFACTOR_SERVICES_YOY" hidden="1">"c7332"</definedName>
    <definedName name="IQ_IMPORTS_NONFACTOR_SERVICES_YOY_FC" hidden="1">"c8212"</definedName>
    <definedName name="IQ_IMPORTS_SERVICES" hidden="1">"c11858"</definedName>
    <definedName name="IQ_IMPORTS_SERVICES_APR" hidden="1">"c11861"</definedName>
    <definedName name="IQ_IMPORTS_SERVICES_POP" hidden="1">"c11859"</definedName>
    <definedName name="IQ_IMPORTS_SERVICES_REAL" hidden="1">"c6986"</definedName>
    <definedName name="IQ_IMPORTS_SERVICES_REAL_APR" hidden="1">"c7646"</definedName>
    <definedName name="IQ_IMPORTS_SERVICES_REAL_APR_FC" hidden="1">"c8526"</definedName>
    <definedName name="IQ_IMPORTS_SERVICES_REAL_FC" hidden="1">"c7866"</definedName>
    <definedName name="IQ_IMPORTS_SERVICES_REAL_POP" hidden="1">"c7206"</definedName>
    <definedName name="IQ_IMPORTS_SERVICES_REAL_POP_FC" hidden="1">"c8086"</definedName>
    <definedName name="IQ_IMPORTS_SERVICES_REAL_YOY" hidden="1">"c7426"</definedName>
    <definedName name="IQ_IMPORTS_SERVICES_REAL_YOY_FC" hidden="1">"c8306"</definedName>
    <definedName name="IQ_IMPORTS_SERVICES_YOY" hidden="1">"c11860"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DOM_LOANS_FFIEC" hidden="1">"c12975"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CHECKS_FFIEC" hidden="1">"c13040"</definedName>
    <definedName name="IQ_INCOME_EARNED_FDIC" hidden="1">"c6359"</definedName>
    <definedName name="IQ_INCOME_FIDUCIARY_ACTIVITIES_FFIEC" hidden="1">"c13002"</definedName>
    <definedName name="IQ_INCOME_LEASE_FINANCING_REC_FFIEC" hidden="1">"c12980"</definedName>
    <definedName name="IQ_INCOME_LOANS_LEASES_TAX_EXEMPT_FFIEC" hidden="1">"c13038"</definedName>
    <definedName name="IQ_INCOME_OTHER_INSURANCE_ACTIVITIES_FFIEC" hidden="1">"c13009"</definedName>
    <definedName name="IQ_INCOME_SALE_MUTUAL_FUNDS_DOM_FFIEC" hidden="1">"c13069"</definedName>
    <definedName name="IQ_INCOME_SECURITIES_TAX_EXEMPT_FFIEC" hidden="1">"c13039"</definedName>
    <definedName name="IQ_INCOME_TAXES_FDIC" hidden="1">"c6582"</definedName>
    <definedName name="IQ_INCOME_TAXES_FFIEC" hidden="1">"c13030"</definedName>
    <definedName name="IQ_INCREASE_INT_INCOME_FFIEC" hidden="1">"c13063"</definedName>
    <definedName name="IQ_INDEX_LEADING_IND" hidden="1">"c6894"</definedName>
    <definedName name="IQ_INDEX_LEADING_IND_APR" hidden="1">"c7554"</definedName>
    <definedName name="IQ_INDEX_LEADING_IND_APR_FC" hidden="1">"c8434"</definedName>
    <definedName name="IQ_INDEX_LEADING_IND_FC" hidden="1">"c7774"</definedName>
    <definedName name="IQ_INDEX_LEADING_IND_POP" hidden="1">"c7114"</definedName>
    <definedName name="IQ_INDEX_LEADING_IND_POP_FC" hidden="1">"c7994"</definedName>
    <definedName name="IQ_INDEX_LEADING_IND_YOY" hidden="1">"c7334"</definedName>
    <definedName name="IQ_INDEX_LEADING_IND_YOY_FC" hidden="1">"c8214"</definedName>
    <definedName name="IQ_INDICATED_ATTRIB_ORE_RESOURCES_ALUM" hidden="1">"c9238"</definedName>
    <definedName name="IQ_INDICATED_ATTRIB_ORE_RESOURCES_COP" hidden="1">"c9182"</definedName>
    <definedName name="IQ_INDICATED_ATTRIB_ORE_RESOURCES_DIAM" hidden="1">"c9662"</definedName>
    <definedName name="IQ_INDICATED_ATTRIB_ORE_RESOURCES_GOLD" hidden="1">"c9023"</definedName>
    <definedName name="IQ_INDICATED_ATTRIB_ORE_RESOURCES_IRON" hidden="1">"c9397"</definedName>
    <definedName name="IQ_INDICATED_ATTRIB_ORE_RESOURCES_LEAD" hidden="1">"c9450"</definedName>
    <definedName name="IQ_INDICATED_ATTRIB_ORE_RESOURCES_MANG" hidden="1">"c9503"</definedName>
    <definedName name="IQ_INDICATED_ATTRIB_ORE_RESOURCES_MOLYB" hidden="1">"c9715"</definedName>
    <definedName name="IQ_INDICATED_ATTRIB_ORE_RESOURCES_NICK" hidden="1">"c9291"</definedName>
    <definedName name="IQ_INDICATED_ATTRIB_ORE_RESOURCES_PLAT" hidden="1">"c9129"</definedName>
    <definedName name="IQ_INDICATED_ATTRIB_ORE_RESOURCES_SILVER" hidden="1">"c9076"</definedName>
    <definedName name="IQ_INDICATED_ATTRIB_ORE_RESOURCES_TITAN" hidden="1">"c9556"</definedName>
    <definedName name="IQ_INDICATED_ATTRIB_ORE_RESOURCES_URAN" hidden="1">"c9609"</definedName>
    <definedName name="IQ_INDICATED_ATTRIB_ORE_RESOURCES_ZINC" hidden="1">"c9344"</definedName>
    <definedName name="IQ_INDICATED_ORE_RESOURCES_ALUM" hidden="1">"c9224"</definedName>
    <definedName name="IQ_INDICATED_ORE_RESOURCES_COP" hidden="1">"c9168"</definedName>
    <definedName name="IQ_INDICATED_ORE_RESOURCES_DIAM" hidden="1">"c9648"</definedName>
    <definedName name="IQ_INDICATED_ORE_RESOURCES_GOLD" hidden="1">"c9009"</definedName>
    <definedName name="IQ_INDICATED_ORE_RESOURCES_IRON" hidden="1">"c9383"</definedName>
    <definedName name="IQ_INDICATED_ORE_RESOURCES_LEAD" hidden="1">"c9436"</definedName>
    <definedName name="IQ_INDICATED_ORE_RESOURCES_MANG" hidden="1">"c9489"</definedName>
    <definedName name="IQ_INDICATED_ORE_RESOURCES_MOLYB" hidden="1">"c9701"</definedName>
    <definedName name="IQ_INDICATED_ORE_RESOURCES_NICK" hidden="1">"c9277"</definedName>
    <definedName name="IQ_INDICATED_ORE_RESOURCES_PLAT" hidden="1">"c9115"</definedName>
    <definedName name="IQ_INDICATED_ORE_RESOURCES_SILVER" hidden="1">"c9062"</definedName>
    <definedName name="IQ_INDICATED_ORE_RESOURCES_TITAN" hidden="1">"c9542"</definedName>
    <definedName name="IQ_INDICATED_ORE_RESOURCES_URAN" hidden="1">"c9595"</definedName>
    <definedName name="IQ_INDICATED_ORE_RESOURCES_ZINC" hidden="1">"c9330"</definedName>
    <definedName name="IQ_INDICATED_RECOV_ATTRIB_RESOURCES_ALUM" hidden="1">"c9243"</definedName>
    <definedName name="IQ_INDICATED_RECOV_ATTRIB_RESOURCES_COAL" hidden="1">"c9817"</definedName>
    <definedName name="IQ_INDICATED_RECOV_ATTRIB_RESOURCES_COP" hidden="1">"c9187"</definedName>
    <definedName name="IQ_INDICATED_RECOV_ATTRIB_RESOURCES_DIAM" hidden="1">"c9667"</definedName>
    <definedName name="IQ_INDICATED_RECOV_ATTRIB_RESOURCES_GOLD" hidden="1">"c9028"</definedName>
    <definedName name="IQ_INDICATED_RECOV_ATTRIB_RESOURCES_IRON" hidden="1">"c9402"</definedName>
    <definedName name="IQ_INDICATED_RECOV_ATTRIB_RESOURCES_LEAD" hidden="1">"c9455"</definedName>
    <definedName name="IQ_INDICATED_RECOV_ATTRIB_RESOURCES_MANG" hidden="1">"c9508"</definedName>
    <definedName name="IQ_INDICATED_RECOV_ATTRIB_RESOURCES_MET_COAL" hidden="1">"c9757"</definedName>
    <definedName name="IQ_INDICATED_RECOV_ATTRIB_RESOURCES_MOLYB" hidden="1">"c9720"</definedName>
    <definedName name="IQ_INDICATED_RECOV_ATTRIB_RESOURCES_NICK" hidden="1">"c9296"</definedName>
    <definedName name="IQ_INDICATED_RECOV_ATTRIB_RESOURCES_PLAT" hidden="1">"c9134"</definedName>
    <definedName name="IQ_INDICATED_RECOV_ATTRIB_RESOURCES_SILVER" hidden="1">"c9081"</definedName>
    <definedName name="IQ_INDICATED_RECOV_ATTRIB_RESOURCES_STEAM" hidden="1">"c9787"</definedName>
    <definedName name="IQ_INDICATED_RECOV_ATTRIB_RESOURCES_TITAN" hidden="1">"c9561"</definedName>
    <definedName name="IQ_INDICATED_RECOV_ATTRIB_RESOURCES_URAN" hidden="1">"c9614"</definedName>
    <definedName name="IQ_INDICATED_RECOV_ATTRIB_RESOURCES_ZINC" hidden="1">"c9349"</definedName>
    <definedName name="IQ_INDICATED_RECOV_RESOURCES_ALUM" hidden="1">"c9233"</definedName>
    <definedName name="IQ_INDICATED_RECOV_RESOURCES_COAL" hidden="1">"c9812"</definedName>
    <definedName name="IQ_INDICATED_RECOV_RESOURCES_COP" hidden="1">"c9177"</definedName>
    <definedName name="IQ_INDICATED_RECOV_RESOURCES_DIAM" hidden="1">"c9657"</definedName>
    <definedName name="IQ_INDICATED_RECOV_RESOURCES_GOLD" hidden="1">"c9018"</definedName>
    <definedName name="IQ_INDICATED_RECOV_RESOURCES_IRON" hidden="1">"c9392"</definedName>
    <definedName name="IQ_INDICATED_RECOV_RESOURCES_LEAD" hidden="1">"c9445"</definedName>
    <definedName name="IQ_INDICATED_RECOV_RESOURCES_MANG" hidden="1">"c9498"</definedName>
    <definedName name="IQ_INDICATED_RECOV_RESOURCES_MET_COAL" hidden="1">"c9752"</definedName>
    <definedName name="IQ_INDICATED_RECOV_RESOURCES_MOLYB" hidden="1">"c9710"</definedName>
    <definedName name="IQ_INDICATED_RECOV_RESOURCES_NICK" hidden="1">"c9286"</definedName>
    <definedName name="IQ_INDICATED_RECOV_RESOURCES_PLAT" hidden="1">"c9124"</definedName>
    <definedName name="IQ_INDICATED_RECOV_RESOURCES_SILVER" hidden="1">"c9071"</definedName>
    <definedName name="IQ_INDICATED_RECOV_RESOURCES_STEAM" hidden="1">"c9782"</definedName>
    <definedName name="IQ_INDICATED_RECOV_RESOURCES_TITAN" hidden="1">"c9551"</definedName>
    <definedName name="IQ_INDICATED_RECOV_RESOURCES_URAN" hidden="1">"c9604"</definedName>
    <definedName name="IQ_INDICATED_RECOV_RESOURCES_ZINC" hidden="1">"c9339"</definedName>
    <definedName name="IQ_INDICATED_RESOURCES_CALORIFIC_VALUE_COAL" hidden="1">"c9807"</definedName>
    <definedName name="IQ_INDICATED_RESOURCES_CALORIFIC_VALUE_MET_COAL" hidden="1">"c9747"</definedName>
    <definedName name="IQ_INDICATED_RESOURCES_CALORIFIC_VALUE_STEAM" hidden="1">"c9777"</definedName>
    <definedName name="IQ_INDICATED_RESOURCES_GRADE_ALUM" hidden="1">"c9225"</definedName>
    <definedName name="IQ_INDICATED_RESOURCES_GRADE_COP" hidden="1">"c9169"</definedName>
    <definedName name="IQ_INDICATED_RESOURCES_GRADE_DIAM" hidden="1">"c9649"</definedName>
    <definedName name="IQ_INDICATED_RESOURCES_GRADE_GOLD" hidden="1">"c9010"</definedName>
    <definedName name="IQ_INDICATED_RESOURCES_GRADE_IRON" hidden="1">"c9384"</definedName>
    <definedName name="IQ_INDICATED_RESOURCES_GRADE_LEAD" hidden="1">"c9437"</definedName>
    <definedName name="IQ_INDICATED_RESOURCES_GRADE_MANG" hidden="1">"c9490"</definedName>
    <definedName name="IQ_INDICATED_RESOURCES_GRADE_MOLYB" hidden="1">"c9702"</definedName>
    <definedName name="IQ_INDICATED_RESOURCES_GRADE_NICK" hidden="1">"c9278"</definedName>
    <definedName name="IQ_INDICATED_RESOURCES_GRADE_PLAT" hidden="1">"c9116"</definedName>
    <definedName name="IQ_INDICATED_RESOURCES_GRADE_SILVER" hidden="1">"c9063"</definedName>
    <definedName name="IQ_INDICATED_RESOURCES_GRADE_TITAN" hidden="1">"c9543"</definedName>
    <definedName name="IQ_INDICATED_RESOURCES_GRADE_URAN" hidden="1">"c9596"</definedName>
    <definedName name="IQ_INDICATED_RESOURCES_GRADE_ZINC" hidden="1">"c9331"</definedName>
    <definedName name="IQ_INDIVIDUALS_CHARGE_OFFS_FDIC" hidden="1">"c6599"</definedName>
    <definedName name="IQ_INDIVIDUALS_GROSS_LOANS_FFIEC" hidden="1">"c13411"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IVIDUALS_RISK_BASED_FFIEC" hidden="1">"c13432"</definedName>
    <definedName name="IQ_INDUSTRIAL_PROD" hidden="1">"c6895"</definedName>
    <definedName name="IQ_INDUSTRIAL_PROD_APR" hidden="1">"c7555"</definedName>
    <definedName name="IQ_INDUSTRIAL_PROD_APR_FC" hidden="1">"c8435"</definedName>
    <definedName name="IQ_INDUSTRIAL_PROD_FC" hidden="1">"c7775"</definedName>
    <definedName name="IQ_INDUSTRIAL_PROD_POP" hidden="1">"c7115"</definedName>
    <definedName name="IQ_INDUSTRIAL_PROD_POP_FC" hidden="1">"c7995"</definedName>
    <definedName name="IQ_INDUSTRIAL_PROD_YOY" hidden="1">"c7335"</definedName>
    <definedName name="IQ_INDUSTRIAL_PROD_YOY_FC" hidden="1">"c8215"</definedName>
    <definedName name="IQ_INDUSTRY" hidden="1">"c3601"</definedName>
    <definedName name="IQ_INDUSTRY_GROUP" hidden="1">"c3602"</definedName>
    <definedName name="IQ_INDUSTRY_SECTOR" hidden="1">"c3603"</definedName>
    <definedName name="IQ_INFERRED_ATTRIB_ORE_RESOURCES_ALUM" hidden="1">"c9240"</definedName>
    <definedName name="IQ_INFERRED_ATTRIB_ORE_RESOURCES_COP" hidden="1">"c9184"</definedName>
    <definedName name="IQ_INFERRED_ATTRIB_ORE_RESOURCES_DIAM" hidden="1">"c9664"</definedName>
    <definedName name="IQ_INFERRED_ATTRIB_ORE_RESOURCES_GOLD" hidden="1">"c9025"</definedName>
    <definedName name="IQ_INFERRED_ATTRIB_ORE_RESOURCES_IRON" hidden="1">"c9399"</definedName>
    <definedName name="IQ_INFERRED_ATTRIB_ORE_RESOURCES_LEAD" hidden="1">"c9452"</definedName>
    <definedName name="IQ_INFERRED_ATTRIB_ORE_RESOURCES_MANG" hidden="1">"c9505"</definedName>
    <definedName name="IQ_INFERRED_ATTRIB_ORE_RESOURCES_MOLYB" hidden="1">"c9717"</definedName>
    <definedName name="IQ_INFERRED_ATTRIB_ORE_RESOURCES_NICK" hidden="1">"c9293"</definedName>
    <definedName name="IQ_INFERRED_ATTRIB_ORE_RESOURCES_PLAT" hidden="1">"c9131"</definedName>
    <definedName name="IQ_INFERRED_ATTRIB_ORE_RESOURCES_SILVER" hidden="1">"c9078"</definedName>
    <definedName name="IQ_INFERRED_ATTRIB_ORE_RESOURCES_TITAN" hidden="1">"c9558"</definedName>
    <definedName name="IQ_INFERRED_ATTRIB_ORE_RESOURCES_URAN" hidden="1">"c9611"</definedName>
    <definedName name="IQ_INFERRED_ATTRIB_ORE_RESOURCES_ZINC" hidden="1">"c9346"</definedName>
    <definedName name="IQ_INFERRED_ORE_RESOURCES_ALUM" hidden="1">"c9228"</definedName>
    <definedName name="IQ_INFERRED_ORE_RESOURCES_COP" hidden="1">"c9172"</definedName>
    <definedName name="IQ_INFERRED_ORE_RESOURCES_DIAM" hidden="1">"c9652"</definedName>
    <definedName name="IQ_INFERRED_ORE_RESOURCES_GOLD" hidden="1">"c9013"</definedName>
    <definedName name="IQ_INFERRED_ORE_RESOURCES_IRON" hidden="1">"c9387"</definedName>
    <definedName name="IQ_INFERRED_ORE_RESOURCES_LEAD" hidden="1">"c9440"</definedName>
    <definedName name="IQ_INFERRED_ORE_RESOURCES_MANG" hidden="1">"c9493"</definedName>
    <definedName name="IQ_INFERRED_ORE_RESOURCES_MOLYB" hidden="1">"c9705"</definedName>
    <definedName name="IQ_INFERRED_ORE_RESOURCES_NICK" hidden="1">"c9281"</definedName>
    <definedName name="IQ_INFERRED_ORE_RESOURCES_PLAT" hidden="1">"c9119"</definedName>
    <definedName name="IQ_INFERRED_ORE_RESOURCES_SILVER" hidden="1">"c9066"</definedName>
    <definedName name="IQ_INFERRED_ORE_RESOURCES_TITAN" hidden="1">"c9546"</definedName>
    <definedName name="IQ_INFERRED_ORE_RESOURCES_URAN" hidden="1">"c9599"</definedName>
    <definedName name="IQ_INFERRED_ORE_RESOURCES_ZINC" hidden="1">"c9334"</definedName>
    <definedName name="IQ_INFERRED_RECOV_ATTRIB_RESOURCES_ALUM" hidden="1">"c9245"</definedName>
    <definedName name="IQ_INFERRED_RECOV_ATTRIB_RESOURCES_COAL" hidden="1">"c9819"</definedName>
    <definedName name="IQ_INFERRED_RECOV_ATTRIB_RESOURCES_COP" hidden="1">"c9189"</definedName>
    <definedName name="IQ_INFERRED_RECOV_ATTRIB_RESOURCES_DIAM" hidden="1">"c9669"</definedName>
    <definedName name="IQ_INFERRED_RECOV_ATTRIB_RESOURCES_GOLD" hidden="1">"c9030"</definedName>
    <definedName name="IQ_INFERRED_RECOV_ATTRIB_RESOURCES_IRON" hidden="1">"c9404"</definedName>
    <definedName name="IQ_INFERRED_RECOV_ATTRIB_RESOURCES_LEAD" hidden="1">"c9457"</definedName>
    <definedName name="IQ_INFERRED_RECOV_ATTRIB_RESOURCES_MANG" hidden="1">"c9510"</definedName>
    <definedName name="IQ_INFERRED_RECOV_ATTRIB_RESOURCES_MET_COAL" hidden="1">"c9759"</definedName>
    <definedName name="IQ_INFERRED_RECOV_ATTRIB_RESOURCES_MOLYB" hidden="1">"c9722"</definedName>
    <definedName name="IQ_INFERRED_RECOV_ATTRIB_RESOURCES_NICK" hidden="1">"c9298"</definedName>
    <definedName name="IQ_INFERRED_RECOV_ATTRIB_RESOURCES_PLAT" hidden="1">"c9136"</definedName>
    <definedName name="IQ_INFERRED_RECOV_ATTRIB_RESOURCES_SILVER" hidden="1">"c9083"</definedName>
    <definedName name="IQ_INFERRED_RECOV_ATTRIB_RESOURCES_STEAM" hidden="1">"c9789"</definedName>
    <definedName name="IQ_INFERRED_RECOV_ATTRIB_RESOURCES_TITAN" hidden="1">"c9563"</definedName>
    <definedName name="IQ_INFERRED_RECOV_ATTRIB_RESOURCES_URAN" hidden="1">"c9616"</definedName>
    <definedName name="IQ_INFERRED_RECOV_ATTRIB_RESOURCES_ZINC" hidden="1">"c9351"</definedName>
    <definedName name="IQ_INFERRED_RECOV_RESOURCES_ALUM" hidden="1">"c9235"</definedName>
    <definedName name="IQ_INFERRED_RECOV_RESOURCES_COAL" hidden="1">"c9814"</definedName>
    <definedName name="IQ_INFERRED_RECOV_RESOURCES_COP" hidden="1">"c9179"</definedName>
    <definedName name="IQ_INFERRED_RECOV_RESOURCES_DIAM" hidden="1">"c9659"</definedName>
    <definedName name="IQ_INFERRED_RECOV_RESOURCES_GOLD" hidden="1">"c9020"</definedName>
    <definedName name="IQ_INFERRED_RECOV_RESOURCES_IRON" hidden="1">"c9394"</definedName>
    <definedName name="IQ_INFERRED_RECOV_RESOURCES_LEAD" hidden="1">"c9447"</definedName>
    <definedName name="IQ_INFERRED_RECOV_RESOURCES_MANG" hidden="1">"c9500"</definedName>
    <definedName name="IQ_INFERRED_RECOV_RESOURCES_MET_COAL" hidden="1">"c9754"</definedName>
    <definedName name="IQ_INFERRED_RECOV_RESOURCES_MOLYB" hidden="1">"c9712"</definedName>
    <definedName name="IQ_INFERRED_RECOV_RESOURCES_NICK" hidden="1">"c9288"</definedName>
    <definedName name="IQ_INFERRED_RECOV_RESOURCES_PLAT" hidden="1">"c9126"</definedName>
    <definedName name="IQ_INFERRED_RECOV_RESOURCES_SILVER" hidden="1">"c9073"</definedName>
    <definedName name="IQ_INFERRED_RECOV_RESOURCES_STEAM" hidden="1">"c9784"</definedName>
    <definedName name="IQ_INFERRED_RECOV_RESOURCES_TITAN" hidden="1">"c9553"</definedName>
    <definedName name="IQ_INFERRED_RECOV_RESOURCES_URAN" hidden="1">"c9606"</definedName>
    <definedName name="IQ_INFERRED_RECOV_RESOURCES_ZINC" hidden="1">"c9341"</definedName>
    <definedName name="IQ_INFERRED_RESOURCES_CALORIFIC_VALUE_COAL" hidden="1">"c9809"</definedName>
    <definedName name="IQ_INFERRED_RESOURCES_CALORIFIC_VALUE_MET_COAL" hidden="1">"c9749"</definedName>
    <definedName name="IQ_INFERRED_RESOURCES_CALORIFIC_VALUE_STEAM" hidden="1">"c9779"</definedName>
    <definedName name="IQ_INFERRED_RESOURCES_GRADE_ALUM" hidden="1">"c9229"</definedName>
    <definedName name="IQ_INFERRED_RESOURCES_GRADE_COP" hidden="1">"c9173"</definedName>
    <definedName name="IQ_INFERRED_RESOURCES_GRADE_DIAM" hidden="1">"c9653"</definedName>
    <definedName name="IQ_INFERRED_RESOURCES_GRADE_GOLD" hidden="1">"c9014"</definedName>
    <definedName name="IQ_INFERRED_RESOURCES_GRADE_IRON" hidden="1">"c9388"</definedName>
    <definedName name="IQ_INFERRED_RESOURCES_GRADE_LEAD" hidden="1">"c9441"</definedName>
    <definedName name="IQ_INFERRED_RESOURCES_GRADE_MANG" hidden="1">"c9494"</definedName>
    <definedName name="IQ_INFERRED_RESOURCES_GRADE_MOLYB" hidden="1">"c9706"</definedName>
    <definedName name="IQ_INFERRED_RESOURCES_GRADE_NICK" hidden="1">"c9282"</definedName>
    <definedName name="IQ_INFERRED_RESOURCES_GRADE_PLAT" hidden="1">"c9120"</definedName>
    <definedName name="IQ_INFERRED_RESOURCES_GRADE_SILVER" hidden="1">"c9067"</definedName>
    <definedName name="IQ_INFERRED_RESOURCES_GRADE_TITAN" hidden="1">"c9547"</definedName>
    <definedName name="IQ_INFERRED_RESOURCES_GRADE_URAN" hidden="1">"c9600"</definedName>
    <definedName name="IQ_INFERRED_RESOURCES_GRADE_ZINC" hidden="1">"c9335"</definedName>
    <definedName name="IQ_INFLATION_RATE" hidden="1">"c6899"</definedName>
    <definedName name="IQ_INFLATION_RATE_CORE" hidden="1">"c11783"</definedName>
    <definedName name="IQ_INFLATION_RATE_CORE_POP" hidden="1">"c11784"</definedName>
    <definedName name="IQ_INFLATION_RATE_CORE_YOY" hidden="1">"c11785"</definedName>
    <definedName name="IQ_INFLATION_RATE_FC" hidden="1">"c7779"</definedName>
    <definedName name="IQ_INFLATION_RATE_POP" hidden="1">"c7119"</definedName>
    <definedName name="IQ_INFLATION_RATE_POP_FC" hidden="1">"c7999"</definedName>
    <definedName name="IQ_INFLATION_RATE_YOY" hidden="1">"c7339"</definedName>
    <definedName name="IQ_INFLATION_RATE_YOY_FC" hidden="1">"c8219"</definedName>
    <definedName name="IQ_INITIAL_CLAIMS" hidden="1">"c6900"</definedName>
    <definedName name="IQ_INITIAL_CLAIMS_APR" hidden="1">"c7560"</definedName>
    <definedName name="IQ_INITIAL_CLAIMS_APR_FC" hidden="1">"c8440"</definedName>
    <definedName name="IQ_INITIAL_CLAIMS_FC" hidden="1">"c7780"</definedName>
    <definedName name="IQ_INITIAL_CLAIMS_POP" hidden="1">"c7120"</definedName>
    <definedName name="IQ_INITIAL_CLAIMS_POP_FC" hidden="1">"c8000"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SUPPLE" hidden="1">"c13814"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_DEPOSITS" hidden="1">"c89"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REINSURANCE_UNDERWRITING_INCOME_FFIEC" hidden="1">"c13008"</definedName>
    <definedName name="IQ_INSURANCE_REV_OPERATING_INC_FFIEC" hidden="1">"c13387"</definedName>
    <definedName name="IQ_INSURANCE_UNDERWRITING_INCOME_FDIC" hidden="1">"c6671"</definedName>
    <definedName name="IQ_INT_BEARING_DEPOSITS" hidden="1">"c1166"</definedName>
    <definedName name="IQ_INT_BEARING_FUNDS_AVG_ASSETS_FFIEC" hidden="1">"c13355"</definedName>
    <definedName name="IQ_INT_BEARING_LIABILITIES_REPRICE_ASSETS_TOT_FFIEC" hidden="1">"c13452"</definedName>
    <definedName name="IQ_INT_BORROW" hidden="1">"c583"</definedName>
    <definedName name="IQ_INT_DEMAND_NOTES_FDIC" hidden="1">"c6567"</definedName>
    <definedName name="IQ_INT_DEPOSITS" hidden="1">"c584"</definedName>
    <definedName name="IQ_INT_DEPOSITS_DOM_FFIEC" hidden="1">"c12852"</definedName>
    <definedName name="IQ_INT_DEPOSITS_DOM_QUARTERLY_AVG_FFIEC" hidden="1">"c13088"</definedName>
    <definedName name="IQ_INT_DEPOSITS_FOREIGN_FFIEC" hidden="1">"c12855"</definedName>
    <definedName name="IQ_INT_DEPOSITS_FOREIGN_QUARTERLY_AVG_FFIEC" hidden="1">"c13089"</definedName>
    <definedName name="IQ_INT_DIV_INC" hidden="1">"c585"</definedName>
    <definedName name="IQ_INT_DIV_INC_MBS_FFIEC" hidden="1">"c12984"</definedName>
    <definedName name="IQ_INT_DIV_INC_SECURITIES_FFIEC" hidden="1">"c12982"</definedName>
    <definedName name="IQ_INT_DIV_INC_SECURITIES_OTHER_FFIEC" hidden="1">"c12985"</definedName>
    <definedName name="IQ_INT_DIV_INC_TREASURY_SECURITIES_FFIEC" hidden="1">"c12983"</definedName>
    <definedName name="IQ_INT_DOMESTIC_DEPOSITS_FDIC" hidden="1">"c6564"</definedName>
    <definedName name="IQ_INT_EXP_AVG_ASSETS_FFIEC" hidden="1">"c13357"</definedName>
    <definedName name="IQ_INT_EXP_BR" hidden="1">"c586"</definedName>
    <definedName name="IQ_INT_EXP_COVERAGE" hidden="1">"c587"</definedName>
    <definedName name="IQ_INT_EXP_EARNING_ASSETS_FFIEC" hidden="1">"c13376"</definedName>
    <definedName name="IQ_INT_EXP_FED_FUNDS_PURCHASED_FFIEC" hidden="1">"c12996"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BNK_SUBTOTAL_AP" hidden="1">"c8977"</definedName>
    <definedName name="IQ_INT_EXP_TOTAL_FDIC" hidden="1">"c6569"</definedName>
    <definedName name="IQ_INT_EXP_UTI" hidden="1">"c592"</definedName>
    <definedName name="IQ_INT_FED_FUNDS_FDIC" hidden="1">"c6566"</definedName>
    <definedName name="IQ_INT_FEE_INC_LOANS_1_4_DOM_FFIEC" hidden="1">"c12976"</definedName>
    <definedName name="IQ_INT_FEE_INC_LOANS_DOM_FFIEC" hidden="1">"c13335"</definedName>
    <definedName name="IQ_INT_FEE_INC_LOANS_FOREIGN_FFIEC" hidden="1">"c12979"</definedName>
    <definedName name="IQ_INT_FEE_INC_LOANS_OTHER_DOM_FFIEC" hidden="1">"c12978"</definedName>
    <definedName name="IQ_INT_FEE_INC_SECURED_RE_DOM_FFIEC" hidden="1">"c12977"</definedName>
    <definedName name="IQ_INT_FEE_INCOME_FFIEC" hidden="1">"c12974"</definedName>
    <definedName name="IQ_INT_FOREIGN_DEPOSITS_FDIC" hidden="1">"c6565"</definedName>
    <definedName name="IQ_INT_INC_AVG_ASSETS_FFIEC" hidden="1">"c13356"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DUE_DEPOSITORY_INSTITUTIONS_FFIEC" hidden="1">"c12981"</definedName>
    <definedName name="IQ_INT_INC_EARNING_ASSETS_FFIEC" hidden="1">"c13375"</definedName>
    <definedName name="IQ_INT_INC_FED_FUNDS_FDIC" hidden="1">"c6561"</definedName>
    <definedName name="IQ_INT_INC_FED_FUNDS_SOLD_FFIEC" hidden="1">"c12987"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E_AVG_ASSETS_FFIEC" hidden="1">"c13358"</definedName>
    <definedName name="IQ_INT_INC_TE_EARNING_ASSETS_FFIEC" hidden="1">"c13377"</definedName>
    <definedName name="IQ_INT_INC_TOTAL" hidden="1">"c598"</definedName>
    <definedName name="IQ_INT_INC_TOTAL_BNK_SUBTOTAL_AP" hidden="1">"c8976"</definedName>
    <definedName name="IQ_INT_INC_TOTAL_FDIC" hidden="1">"c6563"</definedName>
    <definedName name="IQ_INT_INC_TRADING_ACCOUNTS_FDIC" hidden="1">"c6560"</definedName>
    <definedName name="IQ_INT_INC_TRADING_ASSETS_FFIEC" hidden="1">"c12986"</definedName>
    <definedName name="IQ_INT_INC_UTI" hidden="1">"c599"</definedName>
    <definedName name="IQ_INT_INCOME_FTE_AVG_ASSETS_FFIEC" hidden="1">"c13856"</definedName>
    <definedName name="IQ_INT_INCOME_FTE_AVG_EARNING_ASSETS_FFIEC" hidden="1">"c13857"</definedName>
    <definedName name="IQ_INT_INCOME_FTE_FFIEC" hidden="1">"c13852"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ON_DEPOSITS_DOM_FFIEC" hidden="1">"c12991"</definedName>
    <definedName name="IQ_INT_ON_DEPOSITS_FFIEC" hidden="1">"c12990"</definedName>
    <definedName name="IQ_INT_ON_DEPOSITS_FOREIGN_FFIEC" hidden="1">"c12995"</definedName>
    <definedName name="IQ_INT_RATE_EXPOSURE_FFIEC" hidden="1">"c13058"</definedName>
    <definedName name="IQ_INT_RATE_SPREAD" hidden="1">"c604"</definedName>
    <definedName name="IQ_INT_SUB_NOTES_FDIC" hidden="1">"c6568"</definedName>
    <definedName name="IQ_INT_SUB_NOTES_FFIEC" hidden="1">"c12998"</definedName>
    <definedName name="IQ_INT_TIME_DEPOSITS_LESS_THAN_100K_DOM_FFIEC" hidden="1">"c12993"</definedName>
    <definedName name="IQ_INT_TIME_DEPOSITS_MORE_THAN_100K_DOM_FFIEC" hidden="1">"c12992"</definedName>
    <definedName name="IQ_INT_TRADING_LIABILITIES_FFIEC" hidden="1">"c12997"</definedName>
    <definedName name="IQ_INTANGIBLES_NET" hidden="1">"c1407"</definedName>
    <definedName name="IQ_INTEREST_BEARING_BALANCES_FDIC" hidden="1">"c6371"</definedName>
    <definedName name="IQ_INTEREST_BEARING_CASH_FOREIGN_FFIEC" hidden="1">"c12776"</definedName>
    <definedName name="IQ_INTEREST_BEARING_CASH_US_FFIEC" hidden="1">"c12775"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IES" hidden="1">"c6901"</definedName>
    <definedName name="IQ_INVENTORIES_APR" hidden="1">"c7561"</definedName>
    <definedName name="IQ_INVENTORIES_APR_FC" hidden="1">"c8441"</definedName>
    <definedName name="IQ_INVENTORIES_FC" hidden="1">"c7781"</definedName>
    <definedName name="IQ_INVENTORIES_POP" hidden="1">"c7121"</definedName>
    <definedName name="IQ_INVENTORIES_POP_FC" hidden="1">"c8001"</definedName>
    <definedName name="IQ_INVENTORIES_YOY" hidden="1">"c7341"</definedName>
    <definedName name="IQ_INVENTORIES_YOY_FC" hidden="1">"c8221"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IES_ASSETS_TOT_FFIEC" hidden="1">"c13440"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_UNCONSOLIDATED_SUBS_FFIEC" hidden="1">"c12834"</definedName>
    <definedName name="IQ_INVESTMENT_BANKING_BROKERAGE_FEES_FFIEC" hidden="1">"c13627"</definedName>
    <definedName name="IQ_INVESTMENT_BANKING_FEES_COMMISSIONS_FFIEC" hidden="1">"c13006"</definedName>
    <definedName name="IQ_INVESTMENT_BANKING_OTHER_FEES_FDIC" hidden="1">"c6666"</definedName>
    <definedName name="IQ_IPRD" hidden="1">"c644"</definedName>
    <definedName name="IQ_IPRD_SUPPLE" hidden="1">"c13813"</definedName>
    <definedName name="IQ_IRA_KEOGH_ACCOUNTS_FDIC" hidden="1">"c6496"</definedName>
    <definedName name="IQ_ISIN" hidden="1">"c12041"</definedName>
    <definedName name="IQ_ISM_INDEX" hidden="1">"c6902"</definedName>
    <definedName name="IQ_ISM_INDEX_APR" hidden="1">"c7562"</definedName>
    <definedName name="IQ_ISM_INDEX_APR_FC" hidden="1">"c8442"</definedName>
    <definedName name="IQ_ISM_INDEX_FC" hidden="1">"c7782"</definedName>
    <definedName name="IQ_ISM_INDEX_POP" hidden="1">"c7122"</definedName>
    <definedName name="IQ_ISM_INDEX_POP_FC" hidden="1">"c8002"</definedName>
    <definedName name="IQ_ISM_INDEX_YOY" hidden="1">"c7342"</definedName>
    <definedName name="IQ_ISM_INDEX_YOY_FC" hidden="1">"c8222"</definedName>
    <definedName name="IQ_ISM_SERVICES_APR_FC_UNUSED" hidden="1">"c8443"</definedName>
    <definedName name="IQ_ISM_SERVICES_APR_UNUSED" hidden="1">"c7563"</definedName>
    <definedName name="IQ_ISM_SERVICES_FC_UNUSED" hidden="1">"c7783"</definedName>
    <definedName name="IQ_ISM_SERVICES_INDEX" hidden="1">"c11862"</definedName>
    <definedName name="IQ_ISM_SERVICES_INDEX_APR" hidden="1">"c11865"</definedName>
    <definedName name="IQ_ISM_SERVICES_INDEX_POP" hidden="1">"c11863"</definedName>
    <definedName name="IQ_ISM_SERVICES_INDEX_YOY" hidden="1">"c11864"</definedName>
    <definedName name="IQ_ISM_SERVICES_POP_FC_UNUSED" hidden="1">"c8003"</definedName>
    <definedName name="IQ_ISM_SERVICES_POP_UNUSED" hidden="1">"c7123"</definedName>
    <definedName name="IQ_ISM_SERVICES_UNUSED" hidden="1">"c6903"</definedName>
    <definedName name="IQ_ISM_SERVICES_YOY_FC_UNUSED" hidden="1">"c8223"</definedName>
    <definedName name="IQ_ISM_SERVICES_YOY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KEY_DEV_COMPANY_ID" hidden="1">"c13830"</definedName>
    <definedName name="IQ_KEY_DEV_COMPANY_NAME" hidden="1">"c13829"</definedName>
    <definedName name="IQ_KEY_DEV_DATE" hidden="1">"c13763"</definedName>
    <definedName name="IQ_KEY_DEV_HEADLINE" hidden="1">"c13761"</definedName>
    <definedName name="IQ_KEY_DEV_ID" hidden="1">"c13760"</definedName>
    <definedName name="IQ_KEY_DEV_ID_INCL_SUBS" hidden="1">"c13832"</definedName>
    <definedName name="IQ_KEY_DEV_SITUATION" hidden="1">"c13762"</definedName>
    <definedName name="IQ_KEY_DEV_SOURCE" hidden="1">"c13765"</definedName>
    <definedName name="IQ_KEY_DEV_TIME" hidden="1">"c13833"</definedName>
    <definedName name="IQ_KEY_DEV_TRANSACTION_ID" hidden="1">"c13766"</definedName>
    <definedName name="IQ_KEY_DEV_TYPE" hidden="1">"c13764"</definedName>
    <definedName name="IQ_LAND" hidden="1">"c645"</definedName>
    <definedName name="IQ_LARGE_CAP_LABOR_COST_INDEX" hidden="1">"c6904"</definedName>
    <definedName name="IQ_LARGE_CAP_LABOR_COST_INDEX_APR" hidden="1">"c7564"</definedName>
    <definedName name="IQ_LARGE_CAP_LABOR_COST_INDEX_APR_FC" hidden="1">"c8444"</definedName>
    <definedName name="IQ_LARGE_CAP_LABOR_COST_INDEX_FC" hidden="1">"c7784"</definedName>
    <definedName name="IQ_LARGE_CAP_LABOR_COST_INDEX_POP" hidden="1">"c7124"</definedName>
    <definedName name="IQ_LARGE_CAP_LABOR_COST_INDEX_POP_FC" hidden="1">"c8004"</definedName>
    <definedName name="IQ_LARGE_CAP_LABOR_COST_INDEX_YOY" hidden="1">"c7344"</definedName>
    <definedName name="IQ_LARGE_CAP_LABOR_COST_INDEX_YOY_FC" hidden="1">"c8224"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_MONTHLY_FACTOR" hidden="1">"c8971"</definedName>
    <definedName name="IQ_LATEST_MONTHLY_FACTOR_DATE" hidden="1">"c8972"</definedName>
    <definedName name="IQ_LATESTK" hidden="1">1000</definedName>
    <definedName name="IQ_LATESTQ" hidden="1">500</definedName>
    <definedName name="IQ_LEAD_UNDERWRITER" hidden="1">"c8957"</definedName>
    <definedName name="IQ_LEASE_FIN_RECEIVABLES_NON_US_CHARGE_OFFS_FFIEC" hidden="1">"c13631"</definedName>
    <definedName name="IQ_LEASE_FIN_RECEIVABLES_NON_US_RECOV_FFIEC" hidden="1">"c13635"</definedName>
    <definedName name="IQ_LEASE_FIN_RECEIVABLES_US_CHARGE_OFFS_FFIEC" hidden="1">"c13630"</definedName>
    <definedName name="IQ_LEASE_FIN_RECEIVABLES_US_RECOV_FFIEC" hidden="1">"c13634"</definedName>
    <definedName name="IQ_LEASE_FINANCE" hidden="1">"c5654"</definedName>
    <definedName name="IQ_LEASE_FINANCING_REC_DUE_30_89_FFIEC" hidden="1">"c13276"</definedName>
    <definedName name="IQ_LEASE_FINANCING_REC_DUE_90_FFIEC" hidden="1">"c13302"</definedName>
    <definedName name="IQ_LEASE_FINANCING_REC_NON_ACCRUAL_FFIEC" hidden="1">"c13328"</definedName>
    <definedName name="IQ_LEASE_FINANCING_RECEIVABLES_CHARGE_OFFS_FDIC" hidden="1">"c6602"</definedName>
    <definedName name="IQ_LEASE_FINANCING_RECEIVABLES_DOM_FFIEC" hidden="1">"c12915"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ASE_RECEIVABLES_FOREIGN_FFIEC" hidden="1">"c13483"</definedName>
    <definedName name="IQ_LEASES_INDIVIDUALS_CHARGE_OFFS_FFIEC" hidden="1">"c13184"</definedName>
    <definedName name="IQ_LEASES_INDIVIDUALS_RECOV_FFIEC" hidden="1">"c13206"</definedName>
    <definedName name="IQ_LEASES_PERSONAL_EXP_DUE_30_89_FFIEC" hidden="1">"c13277"</definedName>
    <definedName name="IQ_LEASES_PERSONAL_EXP_DUE_90_FFIEC" hidden="1">"c13303"</definedName>
    <definedName name="IQ_LEASES_PERSONAL_EXP_NON_ACCRUAL_FFIEC" hidden="1">"c13329"</definedName>
    <definedName name="IQ_LEGAL_FEES_FFIEC" hidden="1">"c13052"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SUPPLE" hidden="1">"c13815"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AB_AP" hidden="1">"c8886"</definedName>
    <definedName name="IQ_LIAB_AP_ABS" hidden="1">"c8905"</definedName>
    <definedName name="IQ_LIAB_NAME_AP" hidden="1">"c8924"</definedName>
    <definedName name="IQ_LIAB_NAME_AP_ABS" hidden="1">"c8943"</definedName>
    <definedName name="IQ_LIABILITIES_FAIR_VALUE" hidden="1">"c13848"</definedName>
    <definedName name="IQ_LIABILITIES_LEVEL_1" hidden="1">"c13844"</definedName>
    <definedName name="IQ_LIABILITIES_LEVEL_2" hidden="1">"c13845"</definedName>
    <definedName name="IQ_LIABILITIES_LEVEL_3" hidden="1">"c13846"</definedName>
    <definedName name="IQ_LIABILITIES_NETTING_OTHER_ADJUSTMENTS" hidden="1">"c13847"</definedName>
    <definedName name="IQ_LIABILITY_ACCEPTANCES_OUT_FFIEC" hidden="1">"c12866"</definedName>
    <definedName name="IQ_LIABILITY_SHORT_POSITIONS_DOM_FFIEC" hidden="1">"c12941"</definedName>
    <definedName name="IQ_LICENSED_POPS" hidden="1">"c2123"</definedName>
    <definedName name="IQ_LIFE_EARNED" hidden="1">"c2739"</definedName>
    <definedName name="IQ_LIFE_INSURANCE_ASSETS_FDIC" hidden="1">"c6372"</definedName>
    <definedName name="IQ_LIFE_INSURANCE_ASSETS_FFIEC" hidden="1">"c12847"</definedName>
    <definedName name="IQ_LIFOR" hidden="1">"c655"</definedName>
    <definedName name="IQ_LIQUID_ASSETS_ASSETS_TOT_FFIEC" hidden="1">"c13439"</definedName>
    <definedName name="IQ_LIQUID_ASSETS_NONCORE_FUNDING_FFIEC" hidden="1">"c13339"</definedName>
    <definedName name="IQ_LIQUIDATION_VALUE_PREFERRED_CONVERT" hidden="1">"c13835"</definedName>
    <definedName name="IQ_LIQUIDATION_VALUE_PREFERRED_NON_REDEEM" hidden="1">"c13836"</definedName>
    <definedName name="IQ_LIQUIDATION_VALUE_PREFERRED_REDEEM" hidden="1">"c13837"</definedName>
    <definedName name="IQ_LL" hidden="1">"c656"</definedName>
    <definedName name="IQ_LOAN_ALLOW_GROSS_LOANS_FFIEC" hidden="1">"c13415"</definedName>
    <definedName name="IQ_LOAN_ALLOWANCE_GROSS_LOSSES_FFIEC" hidden="1">"c13352"</definedName>
    <definedName name="IQ_LOAN_ALLOWANCE_NET_LOANS_FFIEC" hidden="1">"c13472"</definedName>
    <definedName name="IQ_LOAN_ALLOWANCE_NONACCRUAL_ASSETS_FFIEC" hidden="1">"c13473"</definedName>
    <definedName name="IQ_LOAN_ALLOWANCE_PAST_DUE_NONACCRUAL_FFIEC" hidden="1">"c13474"</definedName>
    <definedName name="IQ_LOAN_COMMITMENTS_FAIR_VALUE_TOT_FFIEC" hidden="1">"c13216"</definedName>
    <definedName name="IQ_LOAN_COMMITMENTS_LEVEL_1_FFIEC" hidden="1">"c13224"</definedName>
    <definedName name="IQ_LOAN_COMMITMENTS_LEVEL_2_FFIEC" hidden="1">"c13232"</definedName>
    <definedName name="IQ_LOAN_COMMITMENTS_LEVEL_3_FFIEC" hidden="1">"c13240"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_PERF_ASSETS_FFIEC" hidden="1">"c13912"</definedName>
    <definedName name="IQ_LOAN_LOSS_ALLOWANCE_NONCURRENT_LOANS_FDIC" hidden="1">"c6740"</definedName>
    <definedName name="IQ_LOAN_LOSSES_AVERAGE_LOANS_FFIEC" hidden="1">"c13350"</definedName>
    <definedName name="IQ_LOAN_LOSSES_FDIC" hidden="1">"c6580"</definedName>
    <definedName name="IQ_LOAN_SERVICE_REV" hidden="1">"c658"</definedName>
    <definedName name="IQ_LOANS_AGRICULTURAL_PROD_LL_REC_FFIEC" hidden="1">"c12886"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_US_LL_REC_FFIEC" hidden="1">"c12884"</definedName>
    <definedName name="IQ_LOANS_DEPOSITORY_INSTITUTIONS_FDIC" hidden="1">"c6382"</definedName>
    <definedName name="IQ_LOANS_DOM_QUARTERLY_AVG_FFIEC" hidden="1">"c13084"</definedName>
    <definedName name="IQ_LOANS_FARMERS_CHARGE_OFFS_FFIEC" hidden="1">"c13177"</definedName>
    <definedName name="IQ_LOANS_FARMERS_RECOV_FFIEC" hidden="1">"c13199"</definedName>
    <definedName name="IQ_LOANS_FINANCE_AGRICULTURAL_DUE_30_89_FFIEC" hidden="1">"c13270"</definedName>
    <definedName name="IQ_LOANS_FINANCE_AGRICULTURAL_DUE_90_FFIEC" hidden="1">"c13296"</definedName>
    <definedName name="IQ_LOANS_FINANCE_AGRICULTURAL_NON_ACCRUAL_FFIEC" hidden="1">"c13322"</definedName>
    <definedName name="IQ_LOANS_FINANCE_AGRICULTURAL_PROD_LL_REC_DOM_FFIEC" hidden="1">"c12909"</definedName>
    <definedName name="IQ_LOANS_FOR_SALE" hidden="1">"c666"</definedName>
    <definedName name="IQ_LOANS_FOREIGN_GOV_CHARGE_OFFS_FFIEC" hidden="1">"c13182"</definedName>
    <definedName name="IQ_LOANS_FOREIGN_GOV_DUE_30_89_FFIEC" hidden="1">"c13274"</definedName>
    <definedName name="IQ_LOANS_FOREIGN_GOV_DUE_90_FFIEC" hidden="1">"c13300"</definedName>
    <definedName name="IQ_LOANS_FOREIGN_GOV_LL_REC_DOM_FFIEC" hidden="1">"c12912"</definedName>
    <definedName name="IQ_LOANS_FOREIGN_GOV_NON_ACCRUAL_FFIEC" hidden="1">"c13326"</definedName>
    <definedName name="IQ_LOANS_FOREIGN_GOV_RECOV_FFIEC" hidden="1">"c13204"</definedName>
    <definedName name="IQ_LOANS_FOREIGN_INST_CHARGE_OFFS_FFIEC" hidden="1">"c13176"</definedName>
    <definedName name="IQ_LOANS_FOREIGN_INST_RECOV_FFIEC" hidden="1">"c13198"</definedName>
    <definedName name="IQ_LOANS_FOREIGN_LL_REC_FFIEC" hidden="1">"c12885"</definedName>
    <definedName name="IQ_LOANS_GOV_GUARANTEED_DUE_30_89_FFIEC" hidden="1">"c13281"</definedName>
    <definedName name="IQ_LOANS_GOV_GUARANTEED_DUE_90_FFIEC" hidden="1">"c13307"</definedName>
    <definedName name="IQ_LOANS_GOV_GUARANTEED_EXCL_GNMA_DUE_30_89_FFIEC" hidden="1">"c13282"</definedName>
    <definedName name="IQ_LOANS_GOV_GUARANTEED_EXCL_GNMA_DUE_90_FFIEC" hidden="1">"c13308"</definedName>
    <definedName name="IQ_LOANS_GOV_GUARANTEED_EXCL_GNMA_NON_ACCRUAL_FFIEC" hidden="1">"c13333"</definedName>
    <definedName name="IQ_LOANS_GOV_GUARANTEED_NON_ACCRUAL_FFIEC" hidden="1">"c13332"</definedName>
    <definedName name="IQ_LOANS_HELD_FOREIGN_FDIC" hidden="1">"c6315"</definedName>
    <definedName name="IQ_LOANS_INDIVIDUALS_FOREIGN_FFIEC" hidden="1">"c13480"</definedName>
    <definedName name="IQ_LOANS_LEASES_ASSETS_TOT_FFIEC" hidden="1">"c13437"</definedName>
    <definedName name="IQ_LOANS_LEASES_FAIR_VALUE_TOT_FFIEC" hidden="1">"c13209"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HELD_SALE_FFIEC" hidden="1">"c12808"</definedName>
    <definedName name="IQ_LOANS_LEASES_LEVEL_1_FFIEC" hidden="1">"c13217"</definedName>
    <definedName name="IQ_LOANS_LEASES_LEVEL_2_FFIEC" hidden="1">"c13225"</definedName>
    <definedName name="IQ_LOANS_LEASES_LEVEL_3_FFIEC" hidden="1">"c13233"</definedName>
    <definedName name="IQ_LOANS_LEASES_NET_FDIC" hidden="1">"c6327"</definedName>
    <definedName name="IQ_LOANS_LEASES_NET_UNEARNED_FDIC" hidden="1">"c6325"</definedName>
    <definedName name="IQ_LOANS_LEASES_NET_UNEARNED_INC_ALLOWANCE_FFIEC" hidden="1">"c12811"</definedName>
    <definedName name="IQ_LOANS_LEASES_NET_UNEARNED_INCOME_FFIEC" hidden="1">"c12809"</definedName>
    <definedName name="IQ_LOANS_LEASES_QUARTERLY_AVG_FFIEC" hidden="1">"c13081"</definedName>
    <definedName name="IQ_LOANS_LOC_ASSETS_TOT_FFIEC" hidden="1">"c13441"</definedName>
    <definedName name="IQ_LOANS_NOT_SECURED_RE_FDIC" hidden="1">"c6381"</definedName>
    <definedName name="IQ_LOANS_PAST_DUE" hidden="1">"c667"</definedName>
    <definedName name="IQ_LOANS_PURCHASING_CARRYING_SECURITIES_LL_REC_DOM_FFIEC" hidden="1">"c12913"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_RE_FOREIGN_CHARGE_OFFS_FFIEC" hidden="1">"c13174"</definedName>
    <definedName name="IQ_LOANS_SEC_RE_FOREIGN_RECOV_FFIEC" hidden="1">"c13196"</definedName>
    <definedName name="IQ_LOANS_SECURED_1_4_DOM_QUARTERLY_AVG_FFIEC" hidden="1">"c13082"</definedName>
    <definedName name="IQ_LOANS_SECURED_BY_RE_CHARGE_OFFS_FDIC" hidden="1">"c6588"</definedName>
    <definedName name="IQ_LOANS_SECURED_BY_RE_RECOVERIES_FDIC" hidden="1">"c6607"</definedName>
    <definedName name="IQ_LOANS_SECURED_CONSTRUCTION_TRADING_DOM_FFIEC" hidden="1">"c12925"</definedName>
    <definedName name="IQ_LOANS_SECURED_FARMLAND_TRADING_DOM_FFIEC" hidden="1">"c12926"</definedName>
    <definedName name="IQ_LOANS_SECURED_NON_US_FDIC" hidden="1">"c6380"</definedName>
    <definedName name="IQ_LOANS_SECURED_RE_DOM_QUARTERLY_AVG_FFIEC" hidden="1">"c13083"</definedName>
    <definedName name="IQ_LOANS_SECURED_RE_FFIEC" hidden="1">"c12820"</definedName>
    <definedName name="IQ_LOANS_SECURED_RE_LL_REC_FFIEC" hidden="1">"c12883"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ANS_US_INST_CHARGE_OFFS_FFIEC" hidden="1">"c13175"</definedName>
    <definedName name="IQ_LOANS_US_INST_RECOV_FFIEC" hidden="1">"c13197"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AVAIL_SALE_EQUITY_SEC_T1_FFIEC" hidden="1">"c13132"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CIQ" hidden="1">"c4660"</definedName>
    <definedName name="IQ_LOW_TARGET_PRICE_THOM" hidden="1">"c5097"</definedName>
    <definedName name="IQ_LOWPRICE" hidden="1">"c673"</definedName>
    <definedName name="IQ_LT_ASSETS_AP" hidden="1">"c8882"</definedName>
    <definedName name="IQ_LT_ASSETS_AP_ABS" hidden="1">"c8901"</definedName>
    <definedName name="IQ_LT_ASSETS_NAME_AP" hidden="1">"c8920"</definedName>
    <definedName name="IQ_LT_ASSETS_NAME_AP_ABS" hidden="1">"c8939"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MATURING_1YR_INT_SENSITIVITY_FFIEC" hidden="1">"c13097"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REPRICE_ASSETS_TOT_FFIEC" hidden="1">"c13453"</definedName>
    <definedName name="IQ_LT_DEBT_REPRICING_WITHIN_1_YR_INT_SENSITIVITY_FFIEC" hidden="1">"c13095"</definedName>
    <definedName name="IQ_LT_DEBT_UTI" hidden="1">"c696"</definedName>
    <definedName name="IQ_LT_GROWTH_DET_EST" hidden="1">"c12060"</definedName>
    <definedName name="IQ_LT_GROWTH_DET_EST_DATE" hidden="1">"c12213"</definedName>
    <definedName name="IQ_LT_GROWTH_DET_EST_DATE_THOM" hidden="1">"c12240"</definedName>
    <definedName name="IQ_LT_GROWTH_DET_EST_INCL" hidden="1">"c12350"</definedName>
    <definedName name="IQ_LT_GROWTH_DET_EST_INCL_THOM" hidden="1">"c12372"</definedName>
    <definedName name="IQ_LT_GROWTH_DET_EST_ORIGIN" hidden="1">"c12725"</definedName>
    <definedName name="IQ_LT_GROWTH_DET_EST_ORIGIN_THOM" hidden="1">"c12610"</definedName>
    <definedName name="IQ_LT_GROWTH_DET_EST_THOM" hidden="1">"c12090"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LIAB_AP" hidden="1">"c8885"</definedName>
    <definedName name="IQ_LT_LIAB_AP_ABS" hidden="1">"c8904"</definedName>
    <definedName name="IQ_LT_LIAB_NAME_AP" hidden="1">"c8923"</definedName>
    <definedName name="IQ_LT_LIAB_NAME_AP_ABS" hidden="1">"c8942"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1" hidden="1">"c6906"</definedName>
    <definedName name="IQ_M1_APR" hidden="1">"c7566"</definedName>
    <definedName name="IQ_M1_APR_FC" hidden="1">"c8446"</definedName>
    <definedName name="IQ_M1_FC" hidden="1">"c7786"</definedName>
    <definedName name="IQ_M1_POP" hidden="1">"c7126"</definedName>
    <definedName name="IQ_M1_POP_FC" hidden="1">"c8006"</definedName>
    <definedName name="IQ_M1_YOY" hidden="1">"c7346"</definedName>
    <definedName name="IQ_M1_YOY_FC" hidden="1">"c8226"</definedName>
    <definedName name="IQ_M2" hidden="1">"c6907"</definedName>
    <definedName name="IQ_M2_APR" hidden="1">"c7567"</definedName>
    <definedName name="IQ_M2_APR_FC" hidden="1">"c8447"</definedName>
    <definedName name="IQ_M2_FC" hidden="1">"c7787"</definedName>
    <definedName name="IQ_M2_POP" hidden="1">"c7127"</definedName>
    <definedName name="IQ_M2_POP_FC" hidden="1">"c8007"</definedName>
    <definedName name="IQ_M2_YOY" hidden="1">"c7347"</definedName>
    <definedName name="IQ_M2_YOY_FC" hidden="1">"c8227"</definedName>
    <definedName name="IQ_M3" hidden="1">"c6908"</definedName>
    <definedName name="IQ_M3_APR" hidden="1">"c7568"</definedName>
    <definedName name="IQ_M3_APR_FC" hidden="1">"c8448"</definedName>
    <definedName name="IQ_M3_FC" hidden="1">"c7788"</definedName>
    <definedName name="IQ_M3_POP" hidden="1">"c7128"</definedName>
    <definedName name="IQ_M3_POP_FC" hidden="1">"c8008"</definedName>
    <definedName name="IQ_M3_YOY" hidden="1">"c7348"</definedName>
    <definedName name="IQ_M3_YOY_FC" hidden="1">"c8228"</definedName>
    <definedName name="IQ_MACHINERY" hidden="1">"c711"</definedName>
    <definedName name="IQ_MAINT_CAPEX" hidden="1">"c2947"</definedName>
    <definedName name="IQ_MAINT_CAPEX_ACT_OR_EST" hidden="1">"c4458"</definedName>
    <definedName name="IQ_MAINT_CAPEX_ACT_OR_EST_CIQ" hidden="1">"c4987"</definedName>
    <definedName name="IQ_MAINT_CAPEX_EST" hidden="1">"c4457"</definedName>
    <definedName name="IQ_MAINT_CAPEX_HIGH_EST" hidden="1">"c4460"</definedName>
    <definedName name="IQ_MAINT_CAPEX_LOW_EST" hidden="1">"c4461"</definedName>
    <definedName name="IQ_MAINT_CAPEX_MEDIAN_EST" hidden="1">"c4462"</definedName>
    <definedName name="IQ_MAINT_CAPEX_NUM_EST" hidden="1">"c4463"</definedName>
    <definedName name="IQ_MAINT_CAPEX_STDDEV_EST" hidden="1">"c4464"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N_INVENTORIES" hidden="1">"c6913"</definedName>
    <definedName name="IQ_MAN_INVENTORIES_APR" hidden="1">"c7573"</definedName>
    <definedName name="IQ_MAN_INVENTORIES_APR_FC" hidden="1">"c8453"</definedName>
    <definedName name="IQ_MAN_INVENTORIES_FC" hidden="1">"c7793"</definedName>
    <definedName name="IQ_MAN_INVENTORIES_POP" hidden="1">"c7133"</definedName>
    <definedName name="IQ_MAN_INVENTORIES_POP_FC" hidden="1">"c8013"</definedName>
    <definedName name="IQ_MAN_INVENTORIES_YOY" hidden="1">"c7353"</definedName>
    <definedName name="IQ_MAN_INVENTORIES_YOY_FC" hidden="1">"c8233"</definedName>
    <definedName name="IQ_MAN_IS_RATIO" hidden="1">"c6912"</definedName>
    <definedName name="IQ_MAN_IS_RATIO_APR" hidden="1">"c7572"</definedName>
    <definedName name="IQ_MAN_IS_RATIO_APR_FC" hidden="1">"c8452"</definedName>
    <definedName name="IQ_MAN_IS_RATIO_FC" hidden="1">"c7792"</definedName>
    <definedName name="IQ_MAN_IS_RATIO_POP" hidden="1">"c7132"</definedName>
    <definedName name="IQ_MAN_IS_RATIO_POP_FC" hidden="1">"c8012"</definedName>
    <definedName name="IQ_MAN_IS_RATIO_YOY" hidden="1">"c7352"</definedName>
    <definedName name="IQ_MAN_IS_RATIO_YOY_FC" hidden="1">"c8232"</definedName>
    <definedName name="IQ_MAN_ORDERS" hidden="1">"c6914"</definedName>
    <definedName name="IQ_MAN_ORDERS_APR" hidden="1">"c7574"</definedName>
    <definedName name="IQ_MAN_ORDERS_APR_FC" hidden="1">"c8454"</definedName>
    <definedName name="IQ_MAN_ORDERS_FC" hidden="1">"c7794"</definedName>
    <definedName name="IQ_MAN_ORDERS_POP" hidden="1">"c7134"</definedName>
    <definedName name="IQ_MAN_ORDERS_POP_FC" hidden="1">"c8014"</definedName>
    <definedName name="IQ_MAN_ORDERS_YOY" hidden="1">"c7354"</definedName>
    <definedName name="IQ_MAN_ORDERS_YOY_FC" hidden="1">"c8234"</definedName>
    <definedName name="IQ_MAN_OUTPUT_HR" hidden="1">"c6915"</definedName>
    <definedName name="IQ_MAN_OUTPUT_HR_APR" hidden="1">"c7575"</definedName>
    <definedName name="IQ_MAN_OUTPUT_HR_APR_FC" hidden="1">"c8455"</definedName>
    <definedName name="IQ_MAN_OUTPUT_HR_FC" hidden="1">"c7795"</definedName>
    <definedName name="IQ_MAN_OUTPUT_HR_POP" hidden="1">"c7135"</definedName>
    <definedName name="IQ_MAN_OUTPUT_HR_POP_FC" hidden="1">"c8015"</definedName>
    <definedName name="IQ_MAN_OUTPUT_HR_YOY" hidden="1">"c7355"</definedName>
    <definedName name="IQ_MAN_OUTPUT_HR_YOY_FC" hidden="1">"c8235"</definedName>
    <definedName name="IQ_MAN_PAYROLLS" hidden="1">"c6916"</definedName>
    <definedName name="IQ_MAN_PAYROLLS_APR" hidden="1">"c7576"</definedName>
    <definedName name="IQ_MAN_PAYROLLS_APR_FC" hidden="1">"c8456"</definedName>
    <definedName name="IQ_MAN_PAYROLLS_FC" hidden="1">"c7796"</definedName>
    <definedName name="IQ_MAN_PAYROLLS_POP" hidden="1">"c7136"</definedName>
    <definedName name="IQ_MAN_PAYROLLS_POP_FC" hidden="1">"c8016"</definedName>
    <definedName name="IQ_MAN_PAYROLLS_YOY" hidden="1">"c7356"</definedName>
    <definedName name="IQ_MAN_PAYROLLS_YOY_FC" hidden="1">"c8236"</definedName>
    <definedName name="IQ_MAN_SHIPMENTS" hidden="1">"c6917"</definedName>
    <definedName name="IQ_MAN_SHIPMENTS_APR" hidden="1">"c7577"</definedName>
    <definedName name="IQ_MAN_SHIPMENTS_APR_FC" hidden="1">"c8457"</definedName>
    <definedName name="IQ_MAN_SHIPMENTS_FC" hidden="1">"c7797"</definedName>
    <definedName name="IQ_MAN_SHIPMENTS_POP" hidden="1">"c7137"</definedName>
    <definedName name="IQ_MAN_SHIPMENTS_POP_FC" hidden="1">"c8017"</definedName>
    <definedName name="IQ_MAN_SHIPMENTS_YOY" hidden="1">"c7357"</definedName>
    <definedName name="IQ_MAN_SHIPMENTS_YOY_FC" hidden="1">"c8237"</definedName>
    <definedName name="IQ_MAN_TOTAL_HR" hidden="1">"c6918"</definedName>
    <definedName name="IQ_MAN_TOTAL_HR_APR" hidden="1">"c7578"</definedName>
    <definedName name="IQ_MAN_TOTAL_HR_APR_FC" hidden="1">"c8458"</definedName>
    <definedName name="IQ_MAN_TOTAL_HR_FC" hidden="1">"c7798"</definedName>
    <definedName name="IQ_MAN_TOTAL_HR_POP" hidden="1">"c7138"</definedName>
    <definedName name="IQ_MAN_TOTAL_HR_POP_FC" hidden="1">"c8018"</definedName>
    <definedName name="IQ_MAN_TOTAL_HR_YOY" hidden="1">"c7358"</definedName>
    <definedName name="IQ_MAN_TOTAL_HR_YOY_FC" hidden="1">"c8238"</definedName>
    <definedName name="IQ_MAN_TRADE_INVENTORIES" hidden="1">"c6910"</definedName>
    <definedName name="IQ_MAN_TRADE_INVENTORIES_APR" hidden="1">"c7570"</definedName>
    <definedName name="IQ_MAN_TRADE_INVENTORIES_APR_FC" hidden="1">"c8450"</definedName>
    <definedName name="IQ_MAN_TRADE_INVENTORIES_FC" hidden="1">"c7790"</definedName>
    <definedName name="IQ_MAN_TRADE_INVENTORIES_POP" hidden="1">"c7130"</definedName>
    <definedName name="IQ_MAN_TRADE_INVENTORIES_POP_FC" hidden="1">"c8010"</definedName>
    <definedName name="IQ_MAN_TRADE_INVENTORIES_YOY" hidden="1">"c7350"</definedName>
    <definedName name="IQ_MAN_TRADE_INVENTORIES_YOY_FC" hidden="1">"c8230"</definedName>
    <definedName name="IQ_MAN_TRADE_IS_RATIO" hidden="1">"c6909"</definedName>
    <definedName name="IQ_MAN_TRADE_IS_RATIO_FC" hidden="1">"c7789"</definedName>
    <definedName name="IQ_MAN_TRADE_IS_RATIO_POP" hidden="1">"c7129"</definedName>
    <definedName name="IQ_MAN_TRADE_IS_RATIO_POP_FC" hidden="1">"c8009"</definedName>
    <definedName name="IQ_MAN_TRADE_IS_RATIO_YOY" hidden="1">"c7349"</definedName>
    <definedName name="IQ_MAN_TRADE_IS_RATIO_YOY_FC" hidden="1">"c8229"</definedName>
    <definedName name="IQ_MAN_TRADE_SALES" hidden="1">"c6911"</definedName>
    <definedName name="IQ_MAN_TRADE_SALES_APR" hidden="1">"c7571"</definedName>
    <definedName name="IQ_MAN_TRADE_SALES_APR_FC" hidden="1">"c8451"</definedName>
    <definedName name="IQ_MAN_TRADE_SALES_FC" hidden="1">"c7791"</definedName>
    <definedName name="IQ_MAN_TRADE_SALES_POP" hidden="1">"c7131"</definedName>
    <definedName name="IQ_MAN_TRADE_SALES_POP_FC" hidden="1">"c8011"</definedName>
    <definedName name="IQ_MAN_TRADE_SALES_YOY" hidden="1">"c7351"</definedName>
    <definedName name="IQ_MAN_TRADE_SALES_YOY_FC" hidden="1">"c8231"</definedName>
    <definedName name="IQ_MAN_WAGES" hidden="1">"c6919"</definedName>
    <definedName name="IQ_MAN_WAGES_APR" hidden="1">"c7579"</definedName>
    <definedName name="IQ_MAN_WAGES_APR_FC" hidden="1">"c8459"</definedName>
    <definedName name="IQ_MAN_WAGES_FC" hidden="1">"c7799"</definedName>
    <definedName name="IQ_MAN_WAGES_POP" hidden="1">"c7139"</definedName>
    <definedName name="IQ_MAN_WAGES_POP_FC" hidden="1">"c8019"</definedName>
    <definedName name="IQ_MAN_WAGES_YOY" hidden="1">"c7359"</definedName>
    <definedName name="IQ_MAN_WAGES_YOY_FC" hidden="1">"c8239"</definedName>
    <definedName name="IQ_MANAGED_PROP" hidden="1">"c8763"</definedName>
    <definedName name="IQ_MANAGED_SQ_FT" hidden="1">"c8779"</definedName>
    <definedName name="IQ_MANAGED_UNITS" hidden="1">"c8771"</definedName>
    <definedName name="IQ_MARGIN_ANNUAL_PREMIUM_EQUIVALENT_NEW_BUSINESS" hidden="1">"c9970"</definedName>
    <definedName name="IQ_MARGIN_PV_PREMIUMS_NEW_BUSINESS" hidden="1">"c9971"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BS_INVEST_SECURITIES_FFIEC" hidden="1">"c13460"</definedName>
    <definedName name="IQ_MBS_OTHER_ISSUED_FNMA_OTHERS_AVAIL_SALE_FFIEC" hidden="1">"c12799"</definedName>
    <definedName name="IQ_MBS_OTHER_ISSUED_FNMA_OTHERS_FFIEC" hidden="1">"c12785"</definedName>
    <definedName name="IQ_MBS_PASS_THROUGH_FNMA_AVAIL_SALE_FFIEC" hidden="1">"c12797"</definedName>
    <definedName name="IQ_MBS_PASS_THROUGH_FNMA_FFIEC" hidden="1">"c12783"</definedName>
    <definedName name="IQ_MBS_PASS_THROUGH_GNMA_AVAIL_SALE_FFIEC" hidden="1">"c12796"</definedName>
    <definedName name="IQ_MBS_PASS_THROUGH_GNMA_FFIEC" hidden="1">"c12782"</definedName>
    <definedName name="IQ_MBS_PASS_THROUGH_ISSUED_FNMA_GNMA_TRADING_DOM_FFIEC" hidden="1">"c12921"</definedName>
    <definedName name="IQ_MBS_PASS_THROUGH_OTHER_AVAIL_SALE_FFIEC" hidden="1">"c12798"</definedName>
    <definedName name="IQ_MBS_PASS_THROUGH_OTHER_FFIEC" hidden="1">"c12784"</definedName>
    <definedName name="IQ_MC_ASO_COVERED_LIVES" hidden="1">"c9918"</definedName>
    <definedName name="IQ_MC_ASO_MEMBERSHIP" hidden="1">"c9921"</definedName>
    <definedName name="IQ_MC_CLAIMS_RESERVES" hidden="1">"c9941"</definedName>
    <definedName name="IQ_MC_COMBINED_RATIO" hidden="1">"c9933"</definedName>
    <definedName name="IQ_MC_DAYS_CLAIMS_PAYABLE" hidden="1">"c9937"</definedName>
    <definedName name="IQ_MC_DAYS_CLAIMS_PAYABLE_EXCL_CAPITATION" hidden="1">"c9938"</definedName>
    <definedName name="IQ_MC_MEDICAL_COSTS_PMPM" hidden="1">"c9925"</definedName>
    <definedName name="IQ_MC_PARENT_CASH" hidden="1">"c9942"</definedName>
    <definedName name="IQ_MC_PREMIUMS_PMPM" hidden="1">"c9924"</definedName>
    <definedName name="IQ_MC_RATIO" hidden="1">"c2783"</definedName>
    <definedName name="IQ_MC_RECEIPT_CYCLE_TIME_DAYS" hidden="1">"c9939"</definedName>
    <definedName name="IQ_MC_RECEIPT_CYCLE_TIME_MONTHS" hidden="1">"c9940"</definedName>
    <definedName name="IQ_MC_RISK_COVERED_LIVES" hidden="1">"c9917"</definedName>
    <definedName name="IQ_MC_RISK_MEMBERSHIP" hidden="1">"c9920"</definedName>
    <definedName name="IQ_MC_SELLILNG_COSTS_RATIO" hidden="1">"c9928"</definedName>
    <definedName name="IQ_MC_SGA_PMPM" hidden="1">"c9926"</definedName>
    <definedName name="IQ_MC_STATUTORY_SURPLUS" hidden="1">"c2772"</definedName>
    <definedName name="IQ_MC_TOTAL_COVERED_LIVES" hidden="1">"c9919"</definedName>
    <definedName name="IQ_MC_TOTAL_MEMBERSHIP" hidden="1">"c9922"</definedName>
    <definedName name="IQ_MC_TOTAL_MEMBERSHIP_CAPITATION" hidden="1">"c9923"</definedName>
    <definedName name="IQ_MC_UNPROCESSED_CLAIMS_INVENTORY_DAYS" hidden="1">"c9936"</definedName>
    <definedName name="IQ_MC_UNPROCESSED_CLAIMS_INVENTORY_NUMBER" hidden="1">"c9934"</definedName>
    <definedName name="IQ_MC_UNPROCESSED_CLAIMS_INVENTORY_VALUE" hidden="1">"c9935"</definedName>
    <definedName name="IQ_MEASURED_ATTRIB_ORE_RESOURCES_ALUM" hidden="1">"c9237"</definedName>
    <definedName name="IQ_MEASURED_ATTRIB_ORE_RESOURCES_COP" hidden="1">"c9181"</definedName>
    <definedName name="IQ_MEASURED_ATTRIB_ORE_RESOURCES_DIAM" hidden="1">"c9661"</definedName>
    <definedName name="IQ_MEASURED_ATTRIB_ORE_RESOURCES_GOLD" hidden="1">"c9022"</definedName>
    <definedName name="IQ_MEASURED_ATTRIB_ORE_RESOURCES_IRON" hidden="1">"c9396"</definedName>
    <definedName name="IQ_MEASURED_ATTRIB_ORE_RESOURCES_LEAD" hidden="1">"c9449"</definedName>
    <definedName name="IQ_MEASURED_ATTRIB_ORE_RESOURCES_MANG" hidden="1">"c9502"</definedName>
    <definedName name="IQ_MEASURED_ATTRIB_ORE_RESOURCES_MOLYB" hidden="1">"c9714"</definedName>
    <definedName name="IQ_MEASURED_ATTRIB_ORE_RESOURCES_NICK" hidden="1">"c9290"</definedName>
    <definedName name="IQ_MEASURED_ATTRIB_ORE_RESOURCES_PLAT" hidden="1">"c9128"</definedName>
    <definedName name="IQ_MEASURED_ATTRIB_ORE_RESOURCES_SILVER" hidden="1">"c9075"</definedName>
    <definedName name="IQ_MEASURED_ATTRIB_ORE_RESOURCES_TITAN" hidden="1">"c9555"</definedName>
    <definedName name="IQ_MEASURED_ATTRIB_ORE_RESOURCES_URAN" hidden="1">"c9608"</definedName>
    <definedName name="IQ_MEASURED_ATTRIB_ORE_RESOURCES_ZINC" hidden="1">"c9343"</definedName>
    <definedName name="IQ_MEASURED_INDICATED_ATTRIB_ORE_RESOURCES_ALUM" hidden="1">"c9239"</definedName>
    <definedName name="IQ_MEASURED_INDICATED_ATTRIB_ORE_RESOURCES_COP" hidden="1">"c9183"</definedName>
    <definedName name="IQ_MEASURED_INDICATED_ATTRIB_ORE_RESOURCES_DIAM" hidden="1">"c9663"</definedName>
    <definedName name="IQ_MEASURED_INDICATED_ATTRIB_ORE_RESOURCES_GOLD" hidden="1">"c9024"</definedName>
    <definedName name="IQ_MEASURED_INDICATED_ATTRIB_ORE_RESOURCES_IRON" hidden="1">"c9398"</definedName>
    <definedName name="IQ_MEASURED_INDICATED_ATTRIB_ORE_RESOURCES_LEAD" hidden="1">"c9451"</definedName>
    <definedName name="IQ_MEASURED_INDICATED_ATTRIB_ORE_RESOURCES_MANG" hidden="1">"c9504"</definedName>
    <definedName name="IQ_MEASURED_INDICATED_ATTRIB_ORE_RESOURCES_MOLYB" hidden="1">"c9716"</definedName>
    <definedName name="IQ_MEASURED_INDICATED_ATTRIB_ORE_RESOURCES_NICK" hidden="1">"c9292"</definedName>
    <definedName name="IQ_MEASURED_INDICATED_ATTRIB_ORE_RESOURCES_PLAT" hidden="1">"c9130"</definedName>
    <definedName name="IQ_MEASURED_INDICATED_ATTRIB_ORE_RESOURCES_SILVER" hidden="1">"c9077"</definedName>
    <definedName name="IQ_MEASURED_INDICATED_ATTRIB_ORE_RESOURCES_TITAN" hidden="1">"c9557"</definedName>
    <definedName name="IQ_MEASURED_INDICATED_ATTRIB_ORE_RESOURCES_URAN" hidden="1">"c9610"</definedName>
    <definedName name="IQ_MEASURED_INDICATED_ATTRIB_ORE_RESOURCES_ZINC" hidden="1">"c9345"</definedName>
    <definedName name="IQ_MEASURED_INDICATED_ORE_RESOURCES_ALUM" hidden="1">"c9226"</definedName>
    <definedName name="IQ_MEASURED_INDICATED_ORE_RESOURCES_COP" hidden="1">"c9170"</definedName>
    <definedName name="IQ_MEASURED_INDICATED_ORE_RESOURCES_DIAM" hidden="1">"c9650"</definedName>
    <definedName name="IQ_MEASURED_INDICATED_ORE_RESOURCES_GOLD" hidden="1">"c9011"</definedName>
    <definedName name="IQ_MEASURED_INDICATED_ORE_RESOURCES_IRON" hidden="1">"c9385"</definedName>
    <definedName name="IQ_MEASURED_INDICATED_ORE_RESOURCES_LEAD" hidden="1">"c9438"</definedName>
    <definedName name="IQ_MEASURED_INDICATED_ORE_RESOURCES_MANG" hidden="1">"c9491"</definedName>
    <definedName name="IQ_MEASURED_INDICATED_ORE_RESOURCES_MOLYB" hidden="1">"c9703"</definedName>
    <definedName name="IQ_MEASURED_INDICATED_ORE_RESOURCES_NICK" hidden="1">"c9279"</definedName>
    <definedName name="IQ_MEASURED_INDICATED_ORE_RESOURCES_PLAT" hidden="1">"c9117"</definedName>
    <definedName name="IQ_MEASURED_INDICATED_ORE_RESOURCES_SILVER" hidden="1">"c9064"</definedName>
    <definedName name="IQ_MEASURED_INDICATED_ORE_RESOURCES_TITAN" hidden="1">"c9544"</definedName>
    <definedName name="IQ_MEASURED_INDICATED_ORE_RESOURCES_URAN" hidden="1">"c9597"</definedName>
    <definedName name="IQ_MEASURED_INDICATED_ORE_RESOURCES_ZINC" hidden="1">"c9332"</definedName>
    <definedName name="IQ_MEASURED_INDICATED_RECOV_RESOURCES_ALUM" hidden="1">"c9234"</definedName>
    <definedName name="IQ_MEASURED_INDICATED_RECOV_RESOURCES_COAL" hidden="1">"c9813"</definedName>
    <definedName name="IQ_MEASURED_INDICATED_RECOV_RESOURCES_COP" hidden="1">"c9178"</definedName>
    <definedName name="IQ_MEASURED_INDICATED_RECOV_RESOURCES_DIAM" hidden="1">"c9658"</definedName>
    <definedName name="IQ_MEASURED_INDICATED_RECOV_RESOURCES_GOLD" hidden="1">"c9019"</definedName>
    <definedName name="IQ_MEASURED_INDICATED_RECOV_RESOURCES_IRON" hidden="1">"c9393"</definedName>
    <definedName name="IQ_MEASURED_INDICATED_RECOV_RESOURCES_LEAD" hidden="1">"c9446"</definedName>
    <definedName name="IQ_MEASURED_INDICATED_RECOV_RESOURCES_MANG" hidden="1">"c9499"</definedName>
    <definedName name="IQ_MEASURED_INDICATED_RECOV_RESOURCES_MET_COAL" hidden="1">"c9753"</definedName>
    <definedName name="IQ_MEASURED_INDICATED_RECOV_RESOURCES_MOLYB" hidden="1">"c9711"</definedName>
    <definedName name="IQ_MEASURED_INDICATED_RECOV_RESOURCES_NICK" hidden="1">"c9287"</definedName>
    <definedName name="IQ_MEASURED_INDICATED_RECOV_RESOURCES_PLAT" hidden="1">"c9125"</definedName>
    <definedName name="IQ_MEASURED_INDICATED_RECOV_RESOURCES_SILVER" hidden="1">"c9072"</definedName>
    <definedName name="IQ_MEASURED_INDICATED_RECOV_RESOURCES_STEAM" hidden="1">"c9783"</definedName>
    <definedName name="IQ_MEASURED_INDICATED_RECOV_RESOURCES_TITAN" hidden="1">"c9552"</definedName>
    <definedName name="IQ_MEASURED_INDICATED_RECOV_RESOURCES_URAN" hidden="1">"c9605"</definedName>
    <definedName name="IQ_MEASURED_INDICATED_RECOV_RESOURCES_ZINC" hidden="1">"c9340"</definedName>
    <definedName name="IQ_MEASURED_INDICATED_RESOURCES_GRADE_ALUM" hidden="1">"c9227"</definedName>
    <definedName name="IQ_MEASURED_INDICATED_RESOURCES_GRADE_COP" hidden="1">"c9171"</definedName>
    <definedName name="IQ_MEASURED_INDICATED_RESOURCES_GRADE_DIAM" hidden="1">"c9651"</definedName>
    <definedName name="IQ_MEASURED_INDICATED_RESOURCES_GRADE_GOLD" hidden="1">"c9012"</definedName>
    <definedName name="IQ_MEASURED_INDICATED_RESOURCES_GRADE_IRON" hidden="1">"c9386"</definedName>
    <definedName name="IQ_MEASURED_INDICATED_RESOURCES_GRADE_LEAD" hidden="1">"c9439"</definedName>
    <definedName name="IQ_MEASURED_INDICATED_RESOURCES_GRADE_MANG" hidden="1">"c9492"</definedName>
    <definedName name="IQ_MEASURED_INDICATED_RESOURCES_GRADE_MOLYB" hidden="1">"c9704"</definedName>
    <definedName name="IQ_MEASURED_INDICATED_RESOURCES_GRADE_NICK" hidden="1">"c9280"</definedName>
    <definedName name="IQ_MEASURED_INDICATED_RESOURCES_GRADE_PLAT" hidden="1">"c9118"</definedName>
    <definedName name="IQ_MEASURED_INDICATED_RESOURCES_GRADE_SILVER" hidden="1">"c9065"</definedName>
    <definedName name="IQ_MEASURED_INDICATED_RESOURCES_GRADE_TITAN" hidden="1">"c9545"</definedName>
    <definedName name="IQ_MEASURED_INDICATED_RESOURCES_GRADE_URAN" hidden="1">"c9598"</definedName>
    <definedName name="IQ_MEASURED_INDICATED_RESOURCES_GRADE_ZINC" hidden="1">"c9333"</definedName>
    <definedName name="IQ_MEASURED_ORE_RESOURCES_ALUM" hidden="1">"c9222"</definedName>
    <definedName name="IQ_MEASURED_ORE_RESOURCES_COP" hidden="1">"c9166"</definedName>
    <definedName name="IQ_MEASURED_ORE_RESOURCES_DIAM" hidden="1">"c9646"</definedName>
    <definedName name="IQ_MEASURED_ORE_RESOURCES_GOLD" hidden="1">"c9007"</definedName>
    <definedName name="IQ_MEASURED_ORE_RESOURCES_IRON" hidden="1">"c9381"</definedName>
    <definedName name="IQ_MEASURED_ORE_RESOURCES_LEAD" hidden="1">"c9434"</definedName>
    <definedName name="IQ_MEASURED_ORE_RESOURCES_MANG" hidden="1">"c9487"</definedName>
    <definedName name="IQ_MEASURED_ORE_RESOURCES_MOLYB" hidden="1">"c9699"</definedName>
    <definedName name="IQ_MEASURED_ORE_RESOURCES_NICK" hidden="1">"c9275"</definedName>
    <definedName name="IQ_MEASURED_ORE_RESOURCES_PLAT" hidden="1">"c9113"</definedName>
    <definedName name="IQ_MEASURED_ORE_RESOURCES_SILVER" hidden="1">"c9060"</definedName>
    <definedName name="IQ_MEASURED_ORE_RESOURCES_TITAN" hidden="1">"c9540"</definedName>
    <definedName name="IQ_MEASURED_ORE_RESOURCES_URAN" hidden="1">"c9593"</definedName>
    <definedName name="IQ_MEASURED_ORE_RESOURCES_ZINC" hidden="1">"c9328"</definedName>
    <definedName name="IQ_MEASURED_RECOV_ATTRIB_RESOURCES_ALUM" hidden="1">"c9242"</definedName>
    <definedName name="IQ_MEASURED_RECOV_ATTRIB_RESOURCES_COAL" hidden="1">"c9816"</definedName>
    <definedName name="IQ_MEASURED_RECOV_ATTRIB_RESOURCES_COP" hidden="1">"c9186"</definedName>
    <definedName name="IQ_MEASURED_RECOV_ATTRIB_RESOURCES_DIAM" hidden="1">"c9666"</definedName>
    <definedName name="IQ_MEASURED_RECOV_ATTRIB_RESOURCES_GOLD" hidden="1">"c9027"</definedName>
    <definedName name="IQ_MEASURED_RECOV_ATTRIB_RESOURCES_IRON" hidden="1">"c9401"</definedName>
    <definedName name="IQ_MEASURED_RECOV_ATTRIB_RESOURCES_LEAD" hidden="1">"c9454"</definedName>
    <definedName name="IQ_MEASURED_RECOV_ATTRIB_RESOURCES_MANG" hidden="1">"c9507"</definedName>
    <definedName name="IQ_MEASURED_RECOV_ATTRIB_RESOURCES_MET_COAL" hidden="1">"c9756"</definedName>
    <definedName name="IQ_MEASURED_RECOV_ATTRIB_RESOURCES_MOLYB" hidden="1">"c9719"</definedName>
    <definedName name="IQ_MEASURED_RECOV_ATTRIB_RESOURCES_NICK" hidden="1">"c9295"</definedName>
    <definedName name="IQ_MEASURED_RECOV_ATTRIB_RESOURCES_PLAT" hidden="1">"c9133"</definedName>
    <definedName name="IQ_MEASURED_RECOV_ATTRIB_RESOURCES_SILVER" hidden="1">"c9080"</definedName>
    <definedName name="IQ_MEASURED_RECOV_ATTRIB_RESOURCES_STEAM" hidden="1">"c9786"</definedName>
    <definedName name="IQ_MEASURED_RECOV_ATTRIB_RESOURCES_TITAN" hidden="1">"c9560"</definedName>
    <definedName name="IQ_MEASURED_RECOV_ATTRIB_RESOURCES_URAN" hidden="1">"c9613"</definedName>
    <definedName name="IQ_MEASURED_RECOV_ATTRIB_RESOURCES_ZINC" hidden="1">"c9348"</definedName>
    <definedName name="IQ_MEASURED_RECOV_RESOURCES_ALUM" hidden="1">"c9232"</definedName>
    <definedName name="IQ_MEASURED_RECOV_RESOURCES_COAL" hidden="1">"c9811"</definedName>
    <definedName name="IQ_MEASURED_RECOV_RESOURCES_COP" hidden="1">"c9176"</definedName>
    <definedName name="IQ_MEASURED_RECOV_RESOURCES_DIAM" hidden="1">"c9656"</definedName>
    <definedName name="IQ_MEASURED_RECOV_RESOURCES_GOLD" hidden="1">"c9017"</definedName>
    <definedName name="IQ_MEASURED_RECOV_RESOURCES_IRON" hidden="1">"c9391"</definedName>
    <definedName name="IQ_MEASURED_RECOV_RESOURCES_LEAD" hidden="1">"c9444"</definedName>
    <definedName name="IQ_MEASURED_RECOV_RESOURCES_MANG" hidden="1">"c9497"</definedName>
    <definedName name="IQ_MEASURED_RECOV_RESOURCES_MET_COAL" hidden="1">"c9751"</definedName>
    <definedName name="IQ_MEASURED_RECOV_RESOURCES_MOLYB" hidden="1">"c9709"</definedName>
    <definedName name="IQ_MEASURED_RECOV_RESOURCES_NICK" hidden="1">"c9285"</definedName>
    <definedName name="IQ_MEASURED_RECOV_RESOURCES_PLAT" hidden="1">"c9123"</definedName>
    <definedName name="IQ_MEASURED_RECOV_RESOURCES_SILVER" hidden="1">"c9070"</definedName>
    <definedName name="IQ_MEASURED_RECOV_RESOURCES_STEAM" hidden="1">"c9781"</definedName>
    <definedName name="IQ_MEASURED_RECOV_RESOURCES_TITAN" hidden="1">"c9550"</definedName>
    <definedName name="IQ_MEASURED_RECOV_RESOURCES_URAN" hidden="1">"c9603"</definedName>
    <definedName name="IQ_MEASURED_RECOV_RESOURCES_ZINC" hidden="1">"c9338"</definedName>
    <definedName name="IQ_MEASURED_RESOURCES_CALORIFIC_VALUE_COAL" hidden="1">"c9806"</definedName>
    <definedName name="IQ_MEASURED_RESOURCES_CALORIFIC_VALUE_MET_COAL" hidden="1">"c9746"</definedName>
    <definedName name="IQ_MEASURED_RESOURCES_CALORIFIC_VALUE_STEAM" hidden="1">"c9776"</definedName>
    <definedName name="IQ_MEASURED_RESOURCES_GRADE_ALUM" hidden="1">"c9223"</definedName>
    <definedName name="IQ_MEASURED_RESOURCES_GRADE_COP" hidden="1">"c9167"</definedName>
    <definedName name="IQ_MEASURED_RESOURCES_GRADE_DIAM" hidden="1">"c9647"</definedName>
    <definedName name="IQ_MEASURED_RESOURCES_GRADE_GOLD" hidden="1">"c9008"</definedName>
    <definedName name="IQ_MEASURED_RESOURCES_GRADE_IRON" hidden="1">"c9382"</definedName>
    <definedName name="IQ_MEASURED_RESOURCES_GRADE_LEAD" hidden="1">"c9435"</definedName>
    <definedName name="IQ_MEASURED_RESOURCES_GRADE_MANG" hidden="1">"c9488"</definedName>
    <definedName name="IQ_MEASURED_RESOURCES_GRADE_MOLYB" hidden="1">"c9700"</definedName>
    <definedName name="IQ_MEASURED_RESOURCES_GRADE_NICK" hidden="1">"c9276"</definedName>
    <definedName name="IQ_MEASURED_RESOURCES_GRADE_PLAT" hidden="1">"c9114"</definedName>
    <definedName name="IQ_MEASURED_RESOURCES_GRADE_SILVER" hidden="1">"c9061"</definedName>
    <definedName name="IQ_MEASURED_RESOURCES_GRADE_TITAN" hidden="1">"c9541"</definedName>
    <definedName name="IQ_MEASURED_RESOURCES_GRADE_URAN" hidden="1">"c9594"</definedName>
    <definedName name="IQ_MEASURED_RESOURCES_GRADE_ZINC" hidden="1">"c9329"</definedName>
    <definedName name="IQ_MEDIAN_NEW_HOME_SALES_APR_FC_UNUSED" hidden="1">"c8460"</definedName>
    <definedName name="IQ_MEDIAN_NEW_HOME_SALES_APR_UNUSED" hidden="1">"c7580"</definedName>
    <definedName name="IQ_MEDIAN_NEW_HOME_SALES_FC_UNUSED" hidden="1">"c7800"</definedName>
    <definedName name="IQ_MEDIAN_NEW_HOME_SALES_POP_FC_UNUSED" hidden="1">"c8020"</definedName>
    <definedName name="IQ_MEDIAN_NEW_HOME_SALES_POP_UNUSED" hidden="1">"c7140"</definedName>
    <definedName name="IQ_MEDIAN_NEW_HOME_SALES_UNUSED" hidden="1">"c6920"</definedName>
    <definedName name="IQ_MEDIAN_NEW_HOME_SALES_YOY_FC_UNUSED" hidden="1">"c8240"</definedName>
    <definedName name="IQ_MEDIAN_NEW_HOME_SALES_YOY_UNUSED" hidden="1">"c7360"</definedName>
    <definedName name="IQ_MEDIAN_TARGET_PRICE" hidden="1">"c1650"</definedName>
    <definedName name="IQ_MEDIAN_TARGET_PRICE_CIQ" hidden="1">"c4658"</definedName>
    <definedName name="IQ_MEDIAN_TARGET_PRICE_THOM" hidden="1">"c5095"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SUPPLE" hidden="1">"c13810"</definedName>
    <definedName name="IQ_MERGER_UTI" hidden="1">"c726"</definedName>
    <definedName name="IQ_MI_RECOV_ATTRIB_RESOURCES_ALUM" hidden="1">"c9244"</definedName>
    <definedName name="IQ_MI_RECOV_ATTRIB_RESOURCES_COAL" hidden="1">"c9818"</definedName>
    <definedName name="IQ_MI_RECOV_ATTRIB_RESOURCES_COP" hidden="1">"c9188"</definedName>
    <definedName name="IQ_MI_RECOV_ATTRIB_RESOURCES_DIAM" hidden="1">"c9668"</definedName>
    <definedName name="IQ_MI_RECOV_ATTRIB_RESOURCES_GOLD" hidden="1">"c9029"</definedName>
    <definedName name="IQ_MI_RECOV_ATTRIB_RESOURCES_IRON" hidden="1">"c9403"</definedName>
    <definedName name="IQ_MI_RECOV_ATTRIB_RESOURCES_LEAD" hidden="1">"c9456"</definedName>
    <definedName name="IQ_MI_RECOV_ATTRIB_RESOURCES_MANG" hidden="1">"c9509"</definedName>
    <definedName name="IQ_MI_RECOV_ATTRIB_RESOURCES_MET_COAL" hidden="1">"c9758"</definedName>
    <definedName name="IQ_MI_RECOV_ATTRIB_RESOURCES_MOLYB" hidden="1">"c9721"</definedName>
    <definedName name="IQ_MI_RECOV_ATTRIB_RESOURCES_NICK" hidden="1">"c9297"</definedName>
    <definedName name="IQ_MI_RECOV_ATTRIB_RESOURCES_PLAT" hidden="1">"c9135"</definedName>
    <definedName name="IQ_MI_RECOV_ATTRIB_RESOURCES_SILVER" hidden="1">"c9082"</definedName>
    <definedName name="IQ_MI_RECOV_ATTRIB_RESOURCES_STEAM" hidden="1">"c9788"</definedName>
    <definedName name="IQ_MI_RECOV_ATTRIB_RESOURCES_TITAN" hidden="1">"c9562"</definedName>
    <definedName name="IQ_MI_RECOV_ATTRIB_RESOURCES_URAN" hidden="1">"c9615"</definedName>
    <definedName name="IQ_MI_RECOV_ATTRIB_RESOURCES_ZINC" hidden="1">"c9350"</definedName>
    <definedName name="IQ_MI_RESOURCES_CALORIFIC_VALUE_COAL" hidden="1">"c9808"</definedName>
    <definedName name="IQ_MI_RESOURCES_CALORIFIC_VALUE_MET_COAL" hidden="1">"c9748"</definedName>
    <definedName name="IQ_MI_RESOURCES_CALORIFIC_VALUE_STEAM" hidden="1">"c9778"</definedName>
    <definedName name="IQ_MINORITY_INT_AVG_ASSETS_FFIEC" hidden="1">"c13367"</definedName>
    <definedName name="IQ_MINORITY_INT_BS_FFIEC" hidden="1">"c12874"</definedName>
    <definedName name="IQ_MINORITY_INT_FFIEC" hidden="1">"c13031"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CIQ" hidden="1">"c4041"</definedName>
    <definedName name="IQ_MKTCAP_TOTAL_REV_FWD_THOM" hidden="1">"c4055"</definedName>
    <definedName name="IQ_MM_ACCOUNT" hidden="1">"c743"</definedName>
    <definedName name="IQ_MM_ACCRETION_EXPENSE" hidden="1">"c9845"</definedName>
    <definedName name="IQ_MM_ARO_BEG" hidden="1">"c9842"</definedName>
    <definedName name="IQ_MM_ARO_TOTAL" hidden="1">"c9850"</definedName>
    <definedName name="IQ_MM_CURRENT_PORT_ARO" hidden="1">"c9851"</definedName>
    <definedName name="IQ_MM_DEVELOPED_ACREAGE" hidden="1">"c9832"</definedName>
    <definedName name="IQ_MM_DEVELOPED_SQ_KMS" hidden="1">"c9831"</definedName>
    <definedName name="IQ_MM_DEVELOPED_SQ_MILES" hidden="1">"c9833"</definedName>
    <definedName name="IQ_MM_EXPLORATION_EXPENDITURE_TOT" hidden="1">"c9840"</definedName>
    <definedName name="IQ_MM_FX_ADJUSTMENT" hidden="1">"c9847"</definedName>
    <definedName name="IQ_MM_LIABILITIES_INCURRED_ACQUIRED" hidden="1">"c9843"</definedName>
    <definedName name="IQ_MM_LIABILITIES_REL_SPIN_OFFS" hidden="1">"c9848"</definedName>
    <definedName name="IQ_MM_LIABILITIES_SETTLED_DISPOSED" hidden="1">"c9844"</definedName>
    <definedName name="IQ_MM_NON_CURRENT_PORT_ARO" hidden="1">"c9852"</definedName>
    <definedName name="IQ_MM_NUMBER_MINES" hidden="1">"c9839"</definedName>
    <definedName name="IQ_MM_OTHER_ADJUSTMENTS_ARO" hidden="1">"c9849"</definedName>
    <definedName name="IQ_MM_REMAINING_MINE_LIFE" hidden="1">"c9838"</definedName>
    <definedName name="IQ_MM_RESOURCES_INCL_EXCL_RESERVES" hidden="1">"c9841"</definedName>
    <definedName name="IQ_MM_REVISIONS_ESTIMATE" hidden="1">"c9846"</definedName>
    <definedName name="IQ_MM_STRIPPING_RATIO" hidden="1">"c9837"</definedName>
    <definedName name="IQ_MM_UNDEVELOPED_ACREAGE" hidden="1">"c9835"</definedName>
    <definedName name="IQ_MM_UNDEVELOPED_SQ_KMS" hidden="1">"c9834"</definedName>
    <definedName name="IQ_MM_UNDEVELOPED_SQ_MILES" hidden="1">"c9836"</definedName>
    <definedName name="IQ_MMDA_SAVINGS_TOT_DEPOSITS_FFIEC" hidden="1">"c13905"</definedName>
    <definedName name="IQ_MONEY_MARKET_ACCOUNTS_COMMERCIAL_BANK_SUBS_FFIEC" hidden="1">"c12947"</definedName>
    <definedName name="IQ_MONEY_MARKET_ACCOUNTS_OTHER_INSTITUTIONS_FFIEC" hidden="1">"c12952"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ASSETS_FFIEC" hidden="1">"c12838"</definedName>
    <definedName name="IQ_MORTGAGE_SERVICING_FDIC" hidden="1">"c6335"</definedName>
    <definedName name="IQ_MTD" hidden="1">800000</definedName>
    <definedName name="IQ_MULTI_RES_PROPERTIES_TRADING_DOM_FFIEC" hidden="1">"c12930"</definedName>
    <definedName name="IQ_MULTIFAM_5_LOANS_TOT_LOANS_FFIEC" hidden="1">"c13869"</definedName>
    <definedName name="IQ_MULTIFAMILY_LOANS_GROSS_LOANS_FFIEC" hidden="1">"c13404"</definedName>
    <definedName name="IQ_MULTIFAMILY_LOANS_RISK_BASED_FFIEC" hidden="1">"c13425"</definedName>
    <definedName name="IQ_MULTIFAMILY_RESIDENTIAL_LOANS_FDIC" hidden="1">"c6311"</definedName>
    <definedName name="IQ_MUNICIPAL_INVEST_SECURITIES_FFIEC" hidden="1">"c13459"</definedName>
    <definedName name="IQ_NAMES_REVISION_DATE_" hidden="1">"04/29/2014 14:11:39"</definedName>
    <definedName name="IQ_NAPM_BUS_CONDITIONS" hidden="1">"c6921"</definedName>
    <definedName name="IQ_NAPM_BUS_CONDITIONS_APR" hidden="1">"c7581"</definedName>
    <definedName name="IQ_NAPM_BUS_CONDITIONS_APR_FC" hidden="1">"c8461"</definedName>
    <definedName name="IQ_NAPM_BUS_CONDITIONS_FC" hidden="1">"c7801"</definedName>
    <definedName name="IQ_NAPM_BUS_CONDITIONS_POP" hidden="1">"c7141"</definedName>
    <definedName name="IQ_NAPM_BUS_CONDITIONS_POP_FC" hidden="1">"c8021"</definedName>
    <definedName name="IQ_NAPM_BUS_CONDITIONS_YOY" hidden="1">"c7361"</definedName>
    <definedName name="IQ_NAPM_BUS_CONDITIONS_YOY_FC" hidden="1">"c8241"</definedName>
    <definedName name="IQ_NATIVE_COMPANY_NAME" hidden="1">"c13822"</definedName>
    <definedName name="IQ_NAV_ACT_OR_EST_THOM" hidden="1">"c5607"</definedName>
    <definedName name="IQ_NAV_DET_EST_CURRENCY_THOM" hidden="1">"c12490"</definedName>
    <definedName name="IQ_NAV_DET_EST_DATE_THOM" hidden="1">"c12241"</definedName>
    <definedName name="IQ_NAV_DET_EST_INCL_THOM" hidden="1">"c12373"</definedName>
    <definedName name="IQ_NAV_DET_EST_ORIGIN_THOM" hidden="1">"c12707"</definedName>
    <definedName name="IQ_NAV_DET_EST_THOM" hidden="1">"c12091"</definedName>
    <definedName name="IQ_NAV_EST" hidden="1">"c1751"</definedName>
    <definedName name="IQ_NAV_EST_THOM" hidden="1">"c5601"</definedName>
    <definedName name="IQ_NAV_HIGH_EST" hidden="1">"c1753"</definedName>
    <definedName name="IQ_NAV_HIGH_EST_THOM" hidden="1">"c5604"</definedName>
    <definedName name="IQ_NAV_LOW_EST" hidden="1">"c1754"</definedName>
    <definedName name="IQ_NAV_LOW_EST_THOM" hidden="1">"c5605"</definedName>
    <definedName name="IQ_NAV_MEDIAN_EST" hidden="1">"c1752"</definedName>
    <definedName name="IQ_NAV_MEDIAN_EST_THOM" hidden="1">"c5602"</definedName>
    <definedName name="IQ_NAV_NUM_EST" hidden="1">"c1755"</definedName>
    <definedName name="IQ_NAV_NUM_EST_THOM" hidden="1">"c5606"</definedName>
    <definedName name="IQ_NAV_SHARE_ACT_OR_EST" hidden="1">"c2225"</definedName>
    <definedName name="IQ_NAV_SHARE_DET_EST_ORIGIN" hidden="1">"c12585"</definedName>
    <definedName name="IQ_NAV_SHARE_DET_EST_ORIGIN_THOM" hidden="1">"c12611"</definedName>
    <definedName name="IQ_NAV_SHARE_EST" hidden="1">"c5609"</definedName>
    <definedName name="IQ_NAV_SHARE_HIGH_EST" hidden="1">"c5612"</definedName>
    <definedName name="IQ_NAV_SHARE_LOW_EST" hidden="1">"c5613"</definedName>
    <definedName name="IQ_NAV_SHARE_MEDIAN_EST" hidden="1">"c5610"</definedName>
    <definedName name="IQ_NAV_SHARE_NUM_EST" hidden="1">"c5614"</definedName>
    <definedName name="IQ_NAV_SHARE_STDDEV_EST" hidden="1">"c5611"</definedName>
    <definedName name="IQ_NAV_STDDEV_EST" hidden="1">"c1756"</definedName>
    <definedName name="IQ_NAV_STDDEV_EST_THOM" hidden="1">"c5603"</definedName>
    <definedName name="IQ_NCLS_CLOSED_END_1_4_FAM_LOANS_TOT_LOANS_FFIEC" hidden="1">"c13891"</definedName>
    <definedName name="IQ_NCLS_COMM_IND_LOANS_TOT_LOANS_FFIEC" hidden="1">"c13898"</definedName>
    <definedName name="IQ_NCLS_COMM_RE_FARM_LOANS_TOT_LOANS_FFIEC" hidden="1">"c13897"</definedName>
    <definedName name="IQ_NCLS_COMM_RE_NONFARM_NONRES_TOT_LOANS_FFIEC" hidden="1">"c13896"</definedName>
    <definedName name="IQ_NCLS_CONST_LAND_DEV_LOANS_TOT_LOANS_FFIEC" hidden="1">"c13890"</definedName>
    <definedName name="IQ_NCLS_CONSUMER_LOANS_TOT_LOANS_FFIEC" hidden="1">"c13899"</definedName>
    <definedName name="IQ_NCLS_FARM_LOANS_TOT_LOANS_FFIEC" hidden="1">"c13895"</definedName>
    <definedName name="IQ_NCLS_HOME_EQUITY_LOANS_TOT_LOANS_FFIEC" hidden="1">"c13892"</definedName>
    <definedName name="IQ_NCLS_MULTIFAM_5_LOANS_TOT_LOANS_FFIEC" hidden="1">"c13894"</definedName>
    <definedName name="IQ_NCLS_TOT_1_4_FAM_LOANS_TOT_LOANS_FFIEC" hidden="1">"c13893"</definedName>
    <definedName name="IQ_NCLS_TOT_LEASES_TOT_LOANS_FFIEC" hidden="1">"c13900"</definedName>
    <definedName name="IQ_NCLS_TOT_LOANS_TOT_LOANS_FFIEC" hidden="1">"c13901"</definedName>
    <definedName name="IQ_NCOS_CLOSED_END_1_4_FAM_LOANS_TOT_LOANS_FFIEC" hidden="1">"c13879"</definedName>
    <definedName name="IQ_NCOS_COMM_IND_LOANS_TOT_LOANS_FFIEC" hidden="1">"c13886"</definedName>
    <definedName name="IQ_NCOS_COMM_RE_FARM_LOANS_TOT_LOANS_FFIEC" hidden="1">"c13885"</definedName>
    <definedName name="IQ_NCOS_COMM_RE_NONFARM_NONRES_TOT_LOANS_FFIEC" hidden="1">"c13884"</definedName>
    <definedName name="IQ_NCOS_CONST_LAND_DEV_LOANS_TOT_LOANS_FFIEC" hidden="1">"c13878"</definedName>
    <definedName name="IQ_NCOS_CONSUMER_LOANS_TOT_LOANS_FFIEC" hidden="1">"c13887"</definedName>
    <definedName name="IQ_NCOS_FARM_LOANS_TOT_LOANS_FFIEC" hidden="1">"c13883"</definedName>
    <definedName name="IQ_NCOS_HOME_EQUITY_LOANS_TOT_LOANS_FFIEC" hidden="1">"c13880"</definedName>
    <definedName name="IQ_NCOS_MULTIFAM_5_LOANS_TOT_LOANS_FFIEC" hidden="1">"c13882"</definedName>
    <definedName name="IQ_NCOS_TOT_1_4_FAM_LOANS_TOT_LOANS_FFIEC" hidden="1">"c13881"</definedName>
    <definedName name="IQ_NCOS_TOT_LEASES_TOT_LOANS_FFIEC" hidden="1">"c13888"</definedName>
    <definedName name="IQ_NCOS_TOT_LOANS_TOT_LOANS_FFIEC" hidden="1">"c13889"</definedName>
    <definedName name="IQ_NEGATIVE_FAIR_VALUE_DERIVATIVES_BENEFICIARY_FFIEC" hidden="1">"c13124"</definedName>
    <definedName name="IQ_NEGATIVE_FAIR_VALUE_DERIVATIVES_GUARANTOR_FFIEC" hidden="1">"c13117"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ACT_OR_EST_THOM" hidden="1">"c5309"</definedName>
    <definedName name="IQ_NET_DEBT_DET_EST" hidden="1">"c12061"</definedName>
    <definedName name="IQ_NET_DEBT_DET_EST_CURRENCY" hidden="1">"c12468"</definedName>
    <definedName name="IQ_NET_DEBT_DET_EST_CURRENCY_THOM" hidden="1">"c12491"</definedName>
    <definedName name="IQ_NET_DEBT_DET_EST_DATE" hidden="1">"c12214"</definedName>
    <definedName name="IQ_NET_DEBT_DET_EST_DATE_THOM" hidden="1">"c12242"</definedName>
    <definedName name="IQ_NET_DEBT_DET_EST_INCL" hidden="1">"c12351"</definedName>
    <definedName name="IQ_NET_DEBT_DET_EST_INCL_THOM" hidden="1">"c12374"</definedName>
    <definedName name="IQ_NET_DEBT_DET_EST_ORIGIN" hidden="1">"c12586"</definedName>
    <definedName name="IQ_NET_DEBT_DET_EST_ORIGIN_THOM" hidden="1">"c12612"</definedName>
    <definedName name="IQ_NET_DEBT_DET_EST_THOM" hidden="1">"c12092"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EST_THOM" hidden="1">"c4027"</definedName>
    <definedName name="IQ_NET_DEBT_HIGH_EST" hidden="1">"c3518"</definedName>
    <definedName name="IQ_NET_DEBT_HIGH_EST_THOM" hidden="1">"c4029"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LOW_EST_THOM" hidden="1">"c4030"</definedName>
    <definedName name="IQ_NET_DEBT_MEDIAN_EST" hidden="1">"c3520"</definedName>
    <definedName name="IQ_NET_DEBT_MEDIAN_EST_THOM" hidden="1">"c4028"</definedName>
    <definedName name="IQ_NET_DEBT_NUM_EST" hidden="1">"c3515"</definedName>
    <definedName name="IQ_NET_DEBT_NUM_EST_THOM" hidden="1">"c4031"</definedName>
    <definedName name="IQ_NET_DEBT_STDDEV_EST" hidden="1">"c3516"</definedName>
    <definedName name="IQ_NET_DEBT_STDDEV_EST_THOM" hidden="1">"c4032"</definedName>
    <definedName name="IQ_NET_EARNED" hidden="1">"c2734"</definedName>
    <definedName name="IQ_NET_FUNDS_PURCHASED_ASSETS_TOT_FFIEC" hidden="1">"c13448"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FDIC" hidden="1">"c6587"</definedName>
    <definedName name="IQ_NET_INCOME_LH_FFIEC" hidden="1">"c13110"</definedName>
    <definedName name="IQ_NET_INCOME_PC_FFIEC" hidden="1">"c13103"</definedName>
    <definedName name="IQ_NET_INCOME_SHE_FFIEC" hidden="1">"c12960"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AFTER_LL_BNK_SUBTOTAL_AP" hidden="1">"c8979"</definedName>
    <definedName name="IQ_NET_INT_INC_BNK" hidden="1">"c764"</definedName>
    <definedName name="IQ_NET_INT_INC_BNK_AP" hidden="1">"c8874"</definedName>
    <definedName name="IQ_NET_INT_INC_BNK_AP_ABS" hidden="1">"c8893"</definedName>
    <definedName name="IQ_NET_INT_INC_BNK_FDIC" hidden="1">"c6570"</definedName>
    <definedName name="IQ_NET_INT_INC_BNK_NAME_AP" hidden="1">"c8912"</definedName>
    <definedName name="IQ_NET_INT_INC_BNK_NAME_AP_ABS" hidden="1">"c8931"</definedName>
    <definedName name="IQ_NET_INT_INC_BNK_SUBTOTAL_AP" hidden="1">"c8978"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INCOME_FFIEC" hidden="1">"c13001"</definedName>
    <definedName name="IQ_NET_INT_INCOME_FTE_FFIEC" hidden="1">"c13036"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CORE_DEPOSITS_FFIEC" hidden="1">"c13341"</definedName>
    <definedName name="IQ_NET_LOANS_DEPOSITS_FFIEC" hidden="1">"c13340"</definedName>
    <definedName name="IQ_NET_LOANS_EQUITY_FFIEC" hidden="1">"c13347"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WS" hidden="1">"c13743"</definedName>
    <definedName name="IQ_NEWS_DATE" hidden="1">"c13746"</definedName>
    <definedName name="IQ_NEWS_SOURCE" hidden="1">"c13745"</definedName>
    <definedName name="IQ_NEWS_TIME" hidden="1">"c13759"</definedName>
    <definedName name="IQ_NEWS_URL" hidden="1">"c13744"</definedName>
    <definedName name="IQ_NEXT_CALL_DATE" hidden="1">"c2198"</definedName>
    <definedName name="IQ_NEXT_CALL_PRICE" hidden="1">"c2199"</definedName>
    <definedName name="IQ_NEXT_EARNINGS_DATE" hidden="1">"c13592"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EXT_YR_PROD_EST_MAX_ALUM" hidden="1">"c9251"</definedName>
    <definedName name="IQ_NEXT_YR_PROD_EST_MAX_CATHODE_COP" hidden="1">"c9198"</definedName>
    <definedName name="IQ_NEXT_YR_PROD_EST_MAX_COP" hidden="1">"c9196"</definedName>
    <definedName name="IQ_NEXT_YR_PROD_EST_MAX_DIAM" hidden="1">"c9675"</definedName>
    <definedName name="IQ_NEXT_YR_PROD_EST_MAX_GOLD" hidden="1">"c9036"</definedName>
    <definedName name="IQ_NEXT_YR_PROD_EST_MAX_IRON" hidden="1">"c9410"</definedName>
    <definedName name="IQ_NEXT_YR_PROD_EST_MAX_LEAD" hidden="1">"c9463"</definedName>
    <definedName name="IQ_NEXT_YR_PROD_EST_MAX_MANG" hidden="1">"c9516"</definedName>
    <definedName name="IQ_NEXT_YR_PROD_EST_MAX_MOLYB" hidden="1">"c9728"</definedName>
    <definedName name="IQ_NEXT_YR_PROD_EST_MAX_NICK" hidden="1">"c9304"</definedName>
    <definedName name="IQ_NEXT_YR_PROD_EST_MAX_PLAT" hidden="1">"c9142"</definedName>
    <definedName name="IQ_NEXT_YR_PROD_EST_MAX_SILVER" hidden="1">"c9089"</definedName>
    <definedName name="IQ_NEXT_YR_PROD_EST_MAX_TITAN" hidden="1">"c9569"</definedName>
    <definedName name="IQ_NEXT_YR_PROD_EST_MAX_URAN" hidden="1">"c9622"</definedName>
    <definedName name="IQ_NEXT_YR_PROD_EST_MAX_ZINC" hidden="1">"c9357"</definedName>
    <definedName name="IQ_NEXT_YR_PROD_EST_MIN_ALUM" hidden="1">"c9250"</definedName>
    <definedName name="IQ_NEXT_YR_PROD_EST_MIN_CATHODE_COP" hidden="1">"c9197"</definedName>
    <definedName name="IQ_NEXT_YR_PROD_EST_MIN_COP" hidden="1">"c9195"</definedName>
    <definedName name="IQ_NEXT_YR_PROD_EST_MIN_DIAM" hidden="1">"c9674"</definedName>
    <definedName name="IQ_NEXT_YR_PROD_EST_MIN_GOLD" hidden="1">"c9035"</definedName>
    <definedName name="IQ_NEXT_YR_PROD_EST_MIN_IRON" hidden="1">"c9409"</definedName>
    <definedName name="IQ_NEXT_YR_PROD_EST_MIN_LEAD" hidden="1">"c9462"</definedName>
    <definedName name="IQ_NEXT_YR_PROD_EST_MIN_MANG" hidden="1">"c9515"</definedName>
    <definedName name="IQ_NEXT_YR_PROD_EST_MIN_MOLYB" hidden="1">"c9727"</definedName>
    <definedName name="IQ_NEXT_YR_PROD_EST_MIN_NICK" hidden="1">"c9303"</definedName>
    <definedName name="IQ_NEXT_YR_PROD_EST_MIN_PLAT" hidden="1">"c9141"</definedName>
    <definedName name="IQ_NEXT_YR_PROD_EST_MIN_SILVER" hidden="1">"c9088"</definedName>
    <definedName name="IQ_NEXT_YR_PROD_EST_MIN_TITAN" hidden="1">"c9568"</definedName>
    <definedName name="IQ_NEXT_YR_PROD_EST_MIN_URAN" hidden="1">"c9621"</definedName>
    <definedName name="IQ_NEXT_YR_PROD_EST_MIN_ZINC" hidden="1">"c9356"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CT_OR_EST_THOM" hidden="1">"c5306"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AVAIL_SUBTOTAL_AP" hidden="1">"c8984"</definedName>
    <definedName name="IQ_NI_AVG_ASSETS_FFIEC" hidden="1">"c13370"</definedName>
    <definedName name="IQ_NI_BEFORE_CAPITALIZED" hidden="1">"c792"</definedName>
    <definedName name="IQ_NI_CF" hidden="1">"c793"</definedName>
    <definedName name="IQ_NI_CHARGES_AP" hidden="1">"c8879"</definedName>
    <definedName name="IQ_NI_CHARGES_AP_ABS" hidden="1">"c8898"</definedName>
    <definedName name="IQ_NI_CHARGES_NAME_AP" hidden="1">"c8917"</definedName>
    <definedName name="IQ_NI_CHARGES_NAME_AP_ABS" hidden="1">"c8936"</definedName>
    <definedName name="IQ_NI_DET_EST" hidden="1">"c12062"</definedName>
    <definedName name="IQ_NI_DET_EST_CURRENCY" hidden="1">"c12469"</definedName>
    <definedName name="IQ_NI_DET_EST_CURRENCY_THOM" hidden="1">"c12492"</definedName>
    <definedName name="IQ_NI_DET_EST_DATE" hidden="1">"c12215"</definedName>
    <definedName name="IQ_NI_DET_EST_DATE_THOM" hidden="1">"c12243"</definedName>
    <definedName name="IQ_NI_DET_EST_INCL" hidden="1">"c12352"</definedName>
    <definedName name="IQ_NI_DET_EST_INCL_THOM" hidden="1">"c12375"</definedName>
    <definedName name="IQ_NI_DET_EST_ORIGIN" hidden="1">"c12587"</definedName>
    <definedName name="IQ_NI_DET_EST_ORIGIN_THOM" hidden="1">"c12613"</definedName>
    <definedName name="IQ_NI_DET_EST_THOM" hidden="1">"c12093"</definedName>
    <definedName name="IQ_NI_EST" hidden="1">"c1716"</definedName>
    <definedName name="IQ_NI_EST_THOM" hidden="1">"c5126"</definedName>
    <definedName name="IQ_NI_FFIEC" hidden="1">"c13034"</definedName>
    <definedName name="IQ_NI_GW_DET_EST" hidden="1">"c12063"</definedName>
    <definedName name="IQ_NI_GW_DET_EST_CURRENCY" hidden="1">"c12470"</definedName>
    <definedName name="IQ_NI_GW_DET_EST_DATE" hidden="1">"c12216"</definedName>
    <definedName name="IQ_NI_GW_DET_EST_INCL" hidden="1">"c12353"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HIGH_EST_THOM" hidden="1">"c5128"</definedName>
    <definedName name="IQ_NI_LOW_EST" hidden="1">"c1719"</definedName>
    <definedName name="IQ_NI_LOW_EST_THOM" hidden="1">"c5129"</definedName>
    <definedName name="IQ_NI_MARGIN" hidden="1">"c794"</definedName>
    <definedName name="IQ_NI_MEDIAN_EST" hidden="1">"c1717"</definedName>
    <definedName name="IQ_NI_MEDIAN_EST_THOM" hidden="1">"c5127"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NUM_EST_THOM" hidden="1">"c5130"</definedName>
    <definedName name="IQ_NI_REPORTED_DET_EST_ORIGIN" hidden="1">"c12588"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BC_ACT_OR_EST" hidden="1">"c4474"</definedName>
    <definedName name="IQ_NI_SBC_ACT_OR_EST_CIQ" hidden="1">"c5012"</definedName>
    <definedName name="IQ_NI_SBC_EST" hidden="1">"c4473"</definedName>
    <definedName name="IQ_NI_SBC_GW_ACT_OR_EST" hidden="1">"c4478"</definedName>
    <definedName name="IQ_NI_SBC_GW_ACT_OR_EST_CIQ" hidden="1">"c5016"</definedName>
    <definedName name="IQ_NI_SBC_GW_EST" hidden="1">"c4477"</definedName>
    <definedName name="IQ_NI_SBC_GW_HIGH_EST" hidden="1">"c4480"</definedName>
    <definedName name="IQ_NI_SBC_GW_LOW_EST" hidden="1">"c4481"</definedName>
    <definedName name="IQ_NI_SBC_GW_MEDIAN_EST" hidden="1">"c4482"</definedName>
    <definedName name="IQ_NI_SBC_GW_NUM_EST" hidden="1">"c4483"</definedName>
    <definedName name="IQ_NI_SBC_GW_STDDEV_EST" hidden="1">"c4484"</definedName>
    <definedName name="IQ_NI_SBC_HIGH_EST" hidden="1">"c4486"</definedName>
    <definedName name="IQ_NI_SBC_LOW_EST" hidden="1">"c4487"</definedName>
    <definedName name="IQ_NI_SBC_MEDIAN_EST" hidden="1">"c4488"</definedName>
    <definedName name="IQ_NI_SBC_NUM_EST" hidden="1">"c4489"</definedName>
    <definedName name="IQ_NI_SBC_STDDEV_EST" hidden="1">"c4490"</definedName>
    <definedName name="IQ_NI_SFAS" hidden="1">"c795"</definedName>
    <definedName name="IQ_NI_STDDEV_EST" hidden="1">"c1721"</definedName>
    <definedName name="IQ_NI_STDDEV_EST_THOM" hidden="1">"c5131"</definedName>
    <definedName name="IQ_NI_SUBTOTAL_AP" hidden="1">"c8983"</definedName>
    <definedName name="IQ_NLA_PCT_LEASED_CONSOL" hidden="1">"c8815"</definedName>
    <definedName name="IQ_NLA_PCT_LEASED_MANAGED" hidden="1">"c8817"</definedName>
    <definedName name="IQ_NLA_PCT_LEASED_OTHER" hidden="1">"c8818"</definedName>
    <definedName name="IQ_NLA_PCT_LEASED_TOTAL" hidden="1">"c8819"</definedName>
    <definedName name="IQ_NLA_PCT_LEASED_UNCONSOL" hidden="1">"c8816"</definedName>
    <definedName name="IQ_NLA_SQ_FT_CONSOL" hidden="1">"c8800"</definedName>
    <definedName name="IQ_NLA_SQ_FT_MANAGED" hidden="1">"c8802"</definedName>
    <definedName name="IQ_NLA_SQ_FT_OTHER" hidden="1">"c8803"</definedName>
    <definedName name="IQ_NLA_SQ_FT_TOTAL" hidden="1">"c8804"</definedName>
    <definedName name="IQ_NLA_SQ_FT_UNCONSOL" hidden="1">"c8801"</definedName>
    <definedName name="IQ_NLA_SQ_METER_CONSOL" hidden="1">"c8805"</definedName>
    <definedName name="IQ_NLA_SQ_METER_MANAGED" hidden="1">"c8807"</definedName>
    <definedName name="IQ_NLA_SQ_METER_OTHER" hidden="1">"c8808"</definedName>
    <definedName name="IQ_NLA_SQ_METER_TOTAL" hidden="1">"c8809"</definedName>
    <definedName name="IQ_NLA_SQ_METER_UNCONSOL" hidden="1">"c8806"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_ALLOW_RECEIVABLES_FFIEC" hidden="1">"c13353"</definedName>
    <definedName name="IQ_NON_ACCRUAL_LOANS" hidden="1">"c796"</definedName>
    <definedName name="IQ_NON_CASH" hidden="1">"c1399"</definedName>
    <definedName name="IQ_NON_CASH_ITEMS" hidden="1">"c797"</definedName>
    <definedName name="IQ_NON_CURRENT_LOANS_FFIEC" hidden="1">"c13860"</definedName>
    <definedName name="IQ_NON_FARM_NONRES_PROPERTIES_TRADING_DOM_FFIEC" hidden="1">"c12931"</definedName>
    <definedName name="IQ_NON_INS_EXP" hidden="1">"c798"</definedName>
    <definedName name="IQ_NON_INS_REV" hidden="1">"c799"</definedName>
    <definedName name="IQ_NON_INT_BAL_OTHER_INSTITUTIONS_FFIEC" hidden="1">"c12950"</definedName>
    <definedName name="IQ_NON_INT_BEAR_CD" hidden="1">"c11750"</definedName>
    <definedName name="IQ_NON_INT_BEARING_DEPOSITS" hidden="1">"c800"</definedName>
    <definedName name="IQ_NON_INT_DEPOSITS_DOM_FFIEC" hidden="1">"c12851"</definedName>
    <definedName name="IQ_NON_INT_DEPOSITS_FOREIGN_FFIEC" hidden="1">"c12854"</definedName>
    <definedName name="IQ_NON_INT_EXP" hidden="1">"c801"</definedName>
    <definedName name="IQ_NON_INT_EXP_BNK_AP" hidden="1">"c8877"</definedName>
    <definedName name="IQ_NON_INT_EXP_BNK_AP_ABS" hidden="1">"c8896"</definedName>
    <definedName name="IQ_NON_INT_EXP_BNK_NAME_AP" hidden="1">"c8915"</definedName>
    <definedName name="IQ_NON_INT_EXP_BNK_NAME_AP_ABS" hidden="1">"c8934"</definedName>
    <definedName name="IQ_NON_INT_EXP_BNK_SUBTOTAL_AP" hidden="1">"c8981"</definedName>
    <definedName name="IQ_NON_INT_EXP_FDIC" hidden="1">"c6579"</definedName>
    <definedName name="IQ_NON_INT_EXPENSE_FFIEC" hidden="1">"c13028"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AVG_ASSETS_FFIEC" hidden="1">"c13359"</definedName>
    <definedName name="IQ_NON_INT_INC_BNK_AP" hidden="1">"c8876"</definedName>
    <definedName name="IQ_NON_INT_INC_BNK_AP_ABS" hidden="1">"c8895"</definedName>
    <definedName name="IQ_NON_INT_INC_BNK_NAME_AP" hidden="1">"c8914"</definedName>
    <definedName name="IQ_NON_INT_INC_BNK_NAME_AP_ABS" hidden="1">"c8933"</definedName>
    <definedName name="IQ_NON_INT_INC_BNK_SUBTOTAL_AP" hidden="1">"c8980"</definedName>
    <definedName name="IQ_NON_INT_INC_FDIC" hidden="1">"c6575"</definedName>
    <definedName name="IQ_NON_INT_INC_OPERATING_INC_FFIEC" hidden="1">"c13382"</definedName>
    <definedName name="IQ_NON_INT_INCOME_FFIEC" hidden="1">"c13017"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ASSETS_FFIEC" hidden="1">"c13859"</definedName>
    <definedName name="IQ_NON_PERFORMING_LOANS" hidden="1">"c827"</definedName>
    <definedName name="IQ_NON_PERFORMING_LOANS_FFIEC" hidden="1">"c13861"</definedName>
    <definedName name="IQ_NON_US_ADDRESS_LEASE_FIN_REC_FFIEC" hidden="1">"c13625"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INCOME_AMORT_CLOSED_END_LOANS_FFIEC" hidden="1">"c13078"</definedName>
    <definedName name="IQ_NONCASH_PENSION_EXP" hidden="1">"c3000"</definedName>
    <definedName name="IQ_NONCORE_ASSETS_TOT_FFIEC" hidden="1">"c13443"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DEF_CAPITAL_GOODS_ORDERS" hidden="1">"c6932"</definedName>
    <definedName name="IQ_NONDEF_CAPITAL_GOODS_ORDERS_APR" hidden="1">"c7592"</definedName>
    <definedName name="IQ_NONDEF_CAPITAL_GOODS_ORDERS_APR_FC" hidden="1">"c8472"</definedName>
    <definedName name="IQ_NONDEF_CAPITAL_GOODS_ORDERS_FC" hidden="1">"c7812"</definedName>
    <definedName name="IQ_NONDEF_CAPITAL_GOODS_ORDERS_POP" hidden="1">"c7152"</definedName>
    <definedName name="IQ_NONDEF_CAPITAL_GOODS_ORDERS_POP_FC" hidden="1">"c8032"</definedName>
    <definedName name="IQ_NONDEF_CAPITAL_GOODS_ORDERS_YOY" hidden="1">"c7372"</definedName>
    <definedName name="IQ_NONDEF_CAPITAL_GOODS_ORDERS_YOY_FC" hidden="1">"c8252"</definedName>
    <definedName name="IQ_NONDEF_CAPITAL_GOODS_SHIPMENTS" hidden="1">"c6933"</definedName>
    <definedName name="IQ_NONDEF_CAPITAL_GOODS_SHIPMENTS_APR" hidden="1">"c7593"</definedName>
    <definedName name="IQ_NONDEF_CAPITAL_GOODS_SHIPMENTS_APR_FC" hidden="1">"c8473"</definedName>
    <definedName name="IQ_NONDEF_CAPITAL_GOODS_SHIPMENTS_FC" hidden="1">"c7813"</definedName>
    <definedName name="IQ_NONDEF_CAPITAL_GOODS_SHIPMENTS_POP" hidden="1">"c7153"</definedName>
    <definedName name="IQ_NONDEF_CAPITAL_GOODS_SHIPMENTS_POP_FC" hidden="1">"c8033"</definedName>
    <definedName name="IQ_NONDEF_CAPITAL_GOODS_SHIPMENTS_YOY" hidden="1">"c7373"</definedName>
    <definedName name="IQ_NONDEF_CAPITAL_GOODS_SHIPMENTS_YOY_FC" hidden="1">"c8253"</definedName>
    <definedName name="IQ_NONDEF_SPENDING_SAAR" hidden="1">"c6934"</definedName>
    <definedName name="IQ_NONDEF_SPENDING_SAAR_APR" hidden="1">"c7594"</definedName>
    <definedName name="IQ_NONDEF_SPENDING_SAAR_APR_FC" hidden="1">"c8474"</definedName>
    <definedName name="IQ_NONDEF_SPENDING_SAAR_FC" hidden="1">"c7814"</definedName>
    <definedName name="IQ_NONDEF_SPENDING_SAAR_POP" hidden="1">"c7154"</definedName>
    <definedName name="IQ_NONDEF_SPENDING_SAAR_POP_FC" hidden="1">"c8034"</definedName>
    <definedName name="IQ_NONDEF_SPENDING_SAAR_YOY" hidden="1">"c7374"</definedName>
    <definedName name="IQ_NONDEF_SPENDING_SAAR_YOY_FC" hidden="1">"c8254"</definedName>
    <definedName name="IQ_NONFARM_EMP_HRS_PCT_CHANGE" hidden="1">"c6935"</definedName>
    <definedName name="IQ_NONFARM_EMP_HRS_PCT_CHANGE_FC" hidden="1">"c7815"</definedName>
    <definedName name="IQ_NONFARM_EMP_HRS_PCT_CHANGE_POP" hidden="1">"c7155"</definedName>
    <definedName name="IQ_NONFARM_EMP_HRS_PCT_CHANGE_POP_FC" hidden="1">"c8035"</definedName>
    <definedName name="IQ_NONFARM_EMP_HRS_PCT_CHANGE_YOY" hidden="1">"c7375"</definedName>
    <definedName name="IQ_NONFARM_EMP_HRS_PCT_CHANGE_YOY_FC" hidden="1">"c8255"</definedName>
    <definedName name="IQ_NONFARM_NONRES_GROSS_LOANS_FFIEC" hidden="1">"c13405"</definedName>
    <definedName name="IQ_NONFARM_NONRES_LL_REC_DOM_FFIEC" hidden="1">"c13626"</definedName>
    <definedName name="IQ_NONFARM_NONRES_RISK_BASED_FFIEC" hidden="1">"c13426"</definedName>
    <definedName name="IQ_NONFARM_OUTPUT_PER_HR" hidden="1">"c6936"</definedName>
    <definedName name="IQ_NONFARM_OUTPUT_PER_HR_APR" hidden="1">"c7596"</definedName>
    <definedName name="IQ_NONFARM_OUTPUT_PER_HR_APR_FC" hidden="1">"c8476"</definedName>
    <definedName name="IQ_NONFARM_OUTPUT_PER_HR_FC" hidden="1">"c7816"</definedName>
    <definedName name="IQ_NONFARM_OUTPUT_PER_HR_POP" hidden="1">"c7156"</definedName>
    <definedName name="IQ_NONFARM_OUTPUT_PER_HR_POP_FC" hidden="1">"c8036"</definedName>
    <definedName name="IQ_NONFARM_OUTPUT_PER_HR_YOY" hidden="1">"c7376"</definedName>
    <definedName name="IQ_NONFARM_OUTPUT_PER_HR_YOY_FC" hidden="1">"c8256"</definedName>
    <definedName name="IQ_NONFARM_PAYROLLS" hidden="1">"c6926"</definedName>
    <definedName name="IQ_NONFARM_PAYROLLS_APR" hidden="1">"c7586"</definedName>
    <definedName name="IQ_NONFARM_PAYROLLS_APR_FC" hidden="1">"c8466"</definedName>
    <definedName name="IQ_NONFARM_PAYROLLS_FC" hidden="1">"c7806"</definedName>
    <definedName name="IQ_NONFARM_PAYROLLS_POP" hidden="1">"c7146"</definedName>
    <definedName name="IQ_NONFARM_PAYROLLS_POP_FC" hidden="1">"c8026"</definedName>
    <definedName name="IQ_NONFARM_PAYROLLS_YOY" hidden="1">"c7366"</definedName>
    <definedName name="IQ_NONFARM_PAYROLLS_YOY_FC" hidden="1">"c8246"</definedName>
    <definedName name="IQ_NONFARM_TOTAL_HR_INDEX" hidden="1">"c6937"</definedName>
    <definedName name="IQ_NONFARM_TOTAL_HR_INDEX_APR" hidden="1">"c7597"</definedName>
    <definedName name="IQ_NONFARM_TOTAL_HR_INDEX_APR_FC" hidden="1">"c8477"</definedName>
    <definedName name="IQ_NONFARM_TOTAL_HR_INDEX_FC" hidden="1">"c7817"</definedName>
    <definedName name="IQ_NONFARM_TOTAL_HR_INDEX_POP" hidden="1">"c7157"</definedName>
    <definedName name="IQ_NONFARM_TOTAL_HR_INDEX_POP_FC" hidden="1">"c8037"</definedName>
    <definedName name="IQ_NONFARM_TOTAL_HR_INDEX_YOY" hidden="1">"c7377"</definedName>
    <definedName name="IQ_NONFARM_TOTAL_HR_INDEX_YOY_FC" hidden="1">"c8257"</definedName>
    <definedName name="IQ_NONFARM_WAGES" hidden="1">"c6938"</definedName>
    <definedName name="IQ_NONFARM_WAGES_APR" hidden="1">"c7598"</definedName>
    <definedName name="IQ_NONFARM_WAGES_APR_FC" hidden="1">"c8478"</definedName>
    <definedName name="IQ_NONFARM_WAGES_FC" hidden="1">"c7818"</definedName>
    <definedName name="IQ_NONFARM_WAGES_INDEX" hidden="1">"c6939"</definedName>
    <definedName name="IQ_NONFARM_WAGES_INDEX_APR" hidden="1">"c7599"</definedName>
    <definedName name="IQ_NONFARM_WAGES_INDEX_APR_FC" hidden="1">"c8479"</definedName>
    <definedName name="IQ_NONFARM_WAGES_INDEX_FC" hidden="1">"c7819"</definedName>
    <definedName name="IQ_NONFARM_WAGES_INDEX_POP" hidden="1">"c7159"</definedName>
    <definedName name="IQ_NONFARM_WAGES_INDEX_POP_FC" hidden="1">"c8039"</definedName>
    <definedName name="IQ_NONFARM_WAGES_INDEX_YOY" hidden="1">"c7379"</definedName>
    <definedName name="IQ_NONFARM_WAGES_INDEX_YOY_FC" hidden="1">"c8259"</definedName>
    <definedName name="IQ_NONFARM_WAGES_POP" hidden="1">"c7158"</definedName>
    <definedName name="IQ_NONFARM_WAGES_POP_FC" hidden="1">"c8038"</definedName>
    <definedName name="IQ_NONFARM_WAGES_YOY" hidden="1">"c7378"</definedName>
    <definedName name="IQ_NONFARM_WAGES_YOY_FC" hidden="1">"c8258"</definedName>
    <definedName name="IQ_NONINTEREST_BEARING_BALANCES_FDIC" hidden="1">"c6394"</definedName>
    <definedName name="IQ_NONINTEREST_BEARING_CASH_FFIEC" hidden="1">"c12774"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QUALIFYING_PREFERRED_T1_FFIEC" hidden="1">"c13134"</definedName>
    <definedName name="IQ_NONRECOURSE_DEBT" hidden="1">"c2550"</definedName>
    <definedName name="IQ_NONRECOURSE_DEBT_PCT" hidden="1">"c2551"</definedName>
    <definedName name="IQ_NONRES_FIXED_INVEST" hidden="1">"c6931"</definedName>
    <definedName name="IQ_NONRES_FIXED_INVEST_APR" hidden="1">"c7591"</definedName>
    <definedName name="IQ_NONRES_FIXED_INVEST_POP" hidden="1">"c7151"</definedName>
    <definedName name="IQ_NONRES_FIXED_INVEST_PRIV_APR_FC_UNUSED" hidden="1">"c8468"</definedName>
    <definedName name="IQ_NONRES_FIXED_INVEST_PRIV_APR_UNUSED" hidden="1">"c7588"</definedName>
    <definedName name="IQ_NONRES_FIXED_INVEST_PRIV_FC_UNUSED" hidden="1">"c7808"</definedName>
    <definedName name="IQ_NONRES_FIXED_INVEST_PRIV_POP_FC_UNUSED" hidden="1">"c8028"</definedName>
    <definedName name="IQ_NONRES_FIXED_INVEST_PRIV_POP_UNUSED" hidden="1">"c7148"</definedName>
    <definedName name="IQ_NONRES_FIXED_INVEST_PRIV_REAL" hidden="1">"c6989"</definedName>
    <definedName name="IQ_NONRES_FIXED_INVEST_PRIV_REAL_APR" hidden="1">"c7649"</definedName>
    <definedName name="IQ_NONRES_FIXED_INVEST_PRIV_REAL_APR_FC" hidden="1">"c8529"</definedName>
    <definedName name="IQ_NONRES_FIXED_INVEST_PRIV_REAL_FC" hidden="1">"c7869"</definedName>
    <definedName name="IQ_NONRES_FIXED_INVEST_PRIV_REAL_POP" hidden="1">"c7209"</definedName>
    <definedName name="IQ_NONRES_FIXED_INVEST_PRIV_REAL_POP_FC" hidden="1">"c8089"</definedName>
    <definedName name="IQ_NONRES_FIXED_INVEST_PRIV_REAL_SAAR" hidden="1">"c6990"</definedName>
    <definedName name="IQ_NONRES_FIXED_INVEST_PRIV_REAL_SAAR_APR" hidden="1">"c7650"</definedName>
    <definedName name="IQ_NONRES_FIXED_INVEST_PRIV_REAL_SAAR_APR_FC" hidden="1">"c8530"</definedName>
    <definedName name="IQ_NONRES_FIXED_INVEST_PRIV_REAL_SAAR_FC" hidden="1">"c7870"</definedName>
    <definedName name="IQ_NONRES_FIXED_INVEST_PRIV_REAL_SAAR_POP" hidden="1">"c7210"</definedName>
    <definedName name="IQ_NONRES_FIXED_INVEST_PRIV_REAL_SAAR_POP_FC" hidden="1">"c8090"</definedName>
    <definedName name="IQ_NONRES_FIXED_INVEST_PRIV_REAL_SAAR_USD_APR_FC" hidden="1">"c11981"</definedName>
    <definedName name="IQ_NONRES_FIXED_INVEST_PRIV_REAL_SAAR_USD_FC" hidden="1">"c11978"</definedName>
    <definedName name="IQ_NONRES_FIXED_INVEST_PRIV_REAL_SAAR_USD_POP_FC" hidden="1">"c11979"</definedName>
    <definedName name="IQ_NONRES_FIXED_INVEST_PRIV_REAL_SAAR_USD_YOY_FC" hidden="1">"c11980"</definedName>
    <definedName name="IQ_NONRES_FIXED_INVEST_PRIV_REAL_SAAR_YOY" hidden="1">"c7430"</definedName>
    <definedName name="IQ_NONRES_FIXED_INVEST_PRIV_REAL_SAAR_YOY_FC" hidden="1">"c8310"</definedName>
    <definedName name="IQ_NONRES_FIXED_INVEST_PRIV_REAL_USD_APR_FC" hidden="1">"c11977"</definedName>
    <definedName name="IQ_NONRES_FIXED_INVEST_PRIV_REAL_USD_FC" hidden="1">"c11974"</definedName>
    <definedName name="IQ_NONRES_FIXED_INVEST_PRIV_REAL_USD_POP_FC" hidden="1">"c11975"</definedName>
    <definedName name="IQ_NONRES_FIXED_INVEST_PRIV_REAL_USD_YOY_FC" hidden="1">"c11976"</definedName>
    <definedName name="IQ_NONRES_FIXED_INVEST_PRIV_REAL_YOY" hidden="1">"c7429"</definedName>
    <definedName name="IQ_NONRES_FIXED_INVEST_PRIV_REAL_YOY_FC" hidden="1">"c8309"</definedName>
    <definedName name="IQ_NONRES_FIXED_INVEST_PRIV_SAAR" hidden="1">"c6929"</definedName>
    <definedName name="IQ_NONRES_FIXED_INVEST_PRIV_SAAR_APR" hidden="1">"c7589"</definedName>
    <definedName name="IQ_NONRES_FIXED_INVEST_PRIV_SAAR_APR_FC" hidden="1">"c8469"</definedName>
    <definedName name="IQ_NONRES_FIXED_INVEST_PRIV_SAAR_FC" hidden="1">"c7809"</definedName>
    <definedName name="IQ_NONRES_FIXED_INVEST_PRIV_SAAR_POP" hidden="1">"c7149"</definedName>
    <definedName name="IQ_NONRES_FIXED_INVEST_PRIV_SAAR_POP_FC" hidden="1">"c8029"</definedName>
    <definedName name="IQ_NONRES_FIXED_INVEST_PRIV_SAAR_USD_APR_FC" hidden="1">"c11877"</definedName>
    <definedName name="IQ_NONRES_FIXED_INVEST_PRIV_SAAR_USD_FC" hidden="1">"c11874"</definedName>
    <definedName name="IQ_NONRES_FIXED_INVEST_PRIV_SAAR_USD_POP_FC" hidden="1">"c11875"</definedName>
    <definedName name="IQ_NONRES_FIXED_INVEST_PRIV_SAAR_USD_YOY_FC" hidden="1">"c11876"</definedName>
    <definedName name="IQ_NONRES_FIXED_INVEST_PRIV_SAAR_YOY" hidden="1">"c7369"</definedName>
    <definedName name="IQ_NONRES_FIXED_INVEST_PRIV_SAAR_YOY_FC" hidden="1">"c8249"</definedName>
    <definedName name="IQ_NONRES_FIXED_INVEST_PRIV_UNUSED" hidden="1">"c6928"</definedName>
    <definedName name="IQ_NONRES_FIXED_INVEST_PRIV_USD_APR_FC" hidden="1">"c11873"</definedName>
    <definedName name="IQ_NONRES_FIXED_INVEST_PRIV_USD_FC" hidden="1">"c11870"</definedName>
    <definedName name="IQ_NONRES_FIXED_INVEST_PRIV_USD_POP_FC" hidden="1">"c11871"</definedName>
    <definedName name="IQ_NONRES_FIXED_INVEST_PRIV_USD_YOY_FC" hidden="1">"c11872"</definedName>
    <definedName name="IQ_NONRES_FIXED_INVEST_PRIV_YOY_FC_UNUSED" hidden="1">"c8248"</definedName>
    <definedName name="IQ_NONRES_FIXED_INVEST_PRIV_YOY_UNUSED" hidden="1">"c7368"</definedName>
    <definedName name="IQ_NONRES_FIXED_INVEST_REAL" hidden="1">"c6993"</definedName>
    <definedName name="IQ_NONRES_FIXED_INVEST_REAL_APR" hidden="1">"c7653"</definedName>
    <definedName name="IQ_NONRES_FIXED_INVEST_REAL_POP" hidden="1">"c7213"</definedName>
    <definedName name="IQ_NONRES_FIXED_INVEST_REAL_SAAR" hidden="1">"c6987"</definedName>
    <definedName name="IQ_NONRES_FIXED_INVEST_REAL_SAAR_APR" hidden="1">"c7647"</definedName>
    <definedName name="IQ_NONRES_FIXED_INVEST_REAL_SAAR_APR_FC" hidden="1">"c8527"</definedName>
    <definedName name="IQ_NONRES_FIXED_INVEST_REAL_SAAR_FC" hidden="1">"c7867"</definedName>
    <definedName name="IQ_NONRES_FIXED_INVEST_REAL_SAAR_POP" hidden="1">"c7207"</definedName>
    <definedName name="IQ_NONRES_FIXED_INVEST_REAL_SAAR_POP_FC" hidden="1">"c8087"</definedName>
    <definedName name="IQ_NONRES_FIXED_INVEST_REAL_SAAR_YOY" hidden="1">"c7427"</definedName>
    <definedName name="IQ_NONRES_FIXED_INVEST_REAL_SAAR_YOY_FC" hidden="1">"c8307"</definedName>
    <definedName name="IQ_NONRES_FIXED_INVEST_REAL_USD_APR_FC" hidden="1">"c11973"</definedName>
    <definedName name="IQ_NONRES_FIXED_INVEST_REAL_USD_FC" hidden="1">"c11970"</definedName>
    <definedName name="IQ_NONRES_FIXED_INVEST_REAL_USD_POP_FC" hidden="1">"c11971"</definedName>
    <definedName name="IQ_NONRES_FIXED_INVEST_REAL_USD_YOY_FC" hidden="1">"c11972"</definedName>
    <definedName name="IQ_NONRES_FIXED_INVEST_REAL_YOY" hidden="1">"c7433"</definedName>
    <definedName name="IQ_NONRES_FIXED_INVEST_STRUCT" hidden="1">"c6930"</definedName>
    <definedName name="IQ_NONRES_FIXED_INVEST_STRUCT_APR" hidden="1">"c7590"</definedName>
    <definedName name="IQ_NONRES_FIXED_INVEST_STRUCT_APR_FC" hidden="1">"c8470"</definedName>
    <definedName name="IQ_NONRES_FIXED_INVEST_STRUCT_FC" hidden="1">"c7810"</definedName>
    <definedName name="IQ_NONRES_FIXED_INVEST_STRUCT_POP" hidden="1">"c7150"</definedName>
    <definedName name="IQ_NONRES_FIXED_INVEST_STRUCT_POP_FC" hidden="1">"c8030"</definedName>
    <definedName name="IQ_NONRES_FIXED_INVEST_STRUCT_REAL" hidden="1">"c6992"</definedName>
    <definedName name="IQ_NONRES_FIXED_INVEST_STRUCT_REAL_APR" hidden="1">"c7652"</definedName>
    <definedName name="IQ_NONRES_FIXED_INVEST_STRUCT_REAL_APR_FC" hidden="1">"c8532"</definedName>
    <definedName name="IQ_NONRES_FIXED_INVEST_STRUCT_REAL_FC" hidden="1">"c7872"</definedName>
    <definedName name="IQ_NONRES_FIXED_INVEST_STRUCT_REAL_POP" hidden="1">"c7212"</definedName>
    <definedName name="IQ_NONRES_FIXED_INVEST_STRUCT_REAL_POP_FC" hidden="1">"c8092"</definedName>
    <definedName name="IQ_NONRES_FIXED_INVEST_STRUCT_REAL_SAAR" hidden="1">"c6991"</definedName>
    <definedName name="IQ_NONRES_FIXED_INVEST_STRUCT_REAL_SAAR_APR" hidden="1">"c7651"</definedName>
    <definedName name="IQ_NONRES_FIXED_INVEST_STRUCT_REAL_SAAR_APR_FC" hidden="1">"c8531"</definedName>
    <definedName name="IQ_NONRES_FIXED_INVEST_STRUCT_REAL_SAAR_FC" hidden="1">"c7871"</definedName>
    <definedName name="IQ_NONRES_FIXED_INVEST_STRUCT_REAL_SAAR_POP" hidden="1">"c7211"</definedName>
    <definedName name="IQ_NONRES_FIXED_INVEST_STRUCT_REAL_SAAR_POP_FC" hidden="1">"c8091"</definedName>
    <definedName name="IQ_NONRES_FIXED_INVEST_STRUCT_REAL_SAAR_YOY" hidden="1">"c7431"</definedName>
    <definedName name="IQ_NONRES_FIXED_INVEST_STRUCT_REAL_SAAR_YOY_FC" hidden="1">"c8311"</definedName>
    <definedName name="IQ_NONRES_FIXED_INVEST_STRUCT_REAL_USD_APR_FC" hidden="1">"c11985"</definedName>
    <definedName name="IQ_NONRES_FIXED_INVEST_STRUCT_REAL_USD_FC" hidden="1">"c11982"</definedName>
    <definedName name="IQ_NONRES_FIXED_INVEST_STRUCT_REAL_USD_POP_FC" hidden="1">"c11983"</definedName>
    <definedName name="IQ_NONRES_FIXED_INVEST_STRUCT_REAL_USD_YOY_FC" hidden="1">"c11984"</definedName>
    <definedName name="IQ_NONRES_FIXED_INVEST_STRUCT_REAL_YOY" hidden="1">"c7432"</definedName>
    <definedName name="IQ_NONRES_FIXED_INVEST_STRUCT_REAL_YOY_FC" hidden="1">"c8312"</definedName>
    <definedName name="IQ_NONRES_FIXED_INVEST_STRUCT_USD_APR_FC" hidden="1">"c11881"</definedName>
    <definedName name="IQ_NONRES_FIXED_INVEST_STRUCT_USD_FC" hidden="1">"c11878"</definedName>
    <definedName name="IQ_NONRES_FIXED_INVEST_STRUCT_USD_POP_FC" hidden="1">"c11879"</definedName>
    <definedName name="IQ_NONRES_FIXED_INVEST_STRUCT_USD_YOY_FC" hidden="1">"c11880"</definedName>
    <definedName name="IQ_NONRES_FIXED_INVEST_STRUCT_YOY" hidden="1">"c7370"</definedName>
    <definedName name="IQ_NONRES_FIXED_INVEST_STRUCT_YOY_FC" hidden="1">"c8250"</definedName>
    <definedName name="IQ_NONRES_FIXED_INVEST_USD_APR_FC" hidden="1">"c11869"</definedName>
    <definedName name="IQ_NONRES_FIXED_INVEST_USD_FC" hidden="1">"c11866"</definedName>
    <definedName name="IQ_NONRES_FIXED_INVEST_USD_POP_FC" hidden="1">"c11867"</definedName>
    <definedName name="IQ_NONRES_FIXED_INVEST_USD_YOY_FC" hidden="1">"c11868"</definedName>
    <definedName name="IQ_NONRES_FIXED_INVEST_YOY" hidden="1">"c7371"</definedName>
    <definedName name="IQ_NONTRADING_SECURITIES_FAIR_VALUE_TOT_FFIEC" hidden="1">"c13211"</definedName>
    <definedName name="IQ_NONTRADING_SECURITIES_LEVEL_1_FFIEC" hidden="1">"c13219"</definedName>
    <definedName name="IQ_NONTRADING_SECURITIES_LEVEL_2_FFIEC" hidden="1">"c13227"</definedName>
    <definedName name="IQ_NONTRADING_SECURITIES_LEVEL_3_FFIEC" hidden="1">"c13235"</definedName>
    <definedName name="IQ_NONTRANSACTION_ACCOUNTS_FDIC" hidden="1">"c6552"</definedName>
    <definedName name="IQ_NONUTIL_REV" hidden="1">"c2089"</definedName>
    <definedName name="IQ_NORM_EPS_ACT_OR_EST" hidden="1">"c2249"</definedName>
    <definedName name="IQ_NORM_EPS_ACT_OR_EST_CIQ" hidden="1">"c5069"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AMT_DERIVATIVES_BENEFICIARY_FFIEC" hidden="1">"c13118"</definedName>
    <definedName name="IQ_NOTIONAL_AMT_DERIVATIVES_GUARANTOR_FFIEC" hidden="1">"c13111"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OW_ATS_ACCOUNTS_COMMERCIAL_BANK_SUBS_FFIEC" hidden="1">"c12946"</definedName>
    <definedName name="IQ_NOW_ATS_ACCOUNTS_OTHER_INSTITUTIONS_FFIEC" hidden="1">"c12951"</definedName>
    <definedName name="IQ_NOW_OTHER_TRANS_ACCTS_TOT_DEPOSITS_FFIEC" hidden="1">"c13903"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_CONTRIBUTORS" hidden="1">"c13739"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MINES_ALUM" hidden="1">"c9248"</definedName>
    <definedName name="IQ_NUMBER_MINES_COAL" hidden="1">"c9822"</definedName>
    <definedName name="IQ_NUMBER_MINES_COP" hidden="1">"c9193"</definedName>
    <definedName name="IQ_NUMBER_MINES_DIAM" hidden="1">"c9672"</definedName>
    <definedName name="IQ_NUMBER_MINES_GOLD" hidden="1">"c9033"</definedName>
    <definedName name="IQ_NUMBER_MINES_IRON" hidden="1">"c9407"</definedName>
    <definedName name="IQ_NUMBER_MINES_LEAD" hidden="1">"c9460"</definedName>
    <definedName name="IQ_NUMBER_MINES_MANG" hidden="1">"c9513"</definedName>
    <definedName name="IQ_NUMBER_MINES_MOLYB" hidden="1">"c9725"</definedName>
    <definedName name="IQ_NUMBER_MINES_NICK" hidden="1">"c9301"</definedName>
    <definedName name="IQ_NUMBER_MINES_PLAT" hidden="1">"c9139"</definedName>
    <definedName name="IQ_NUMBER_MINES_SILVER" hidden="1">"c9086"</definedName>
    <definedName name="IQ_NUMBER_MINES_TITAN" hidden="1">"c9566"</definedName>
    <definedName name="IQ_NUMBER_MINES_URAN" hidden="1">"c9619"</definedName>
    <definedName name="IQ_NUMBER_MINES_ZINC" hidden="1">"c9354"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ANCY_CONSOL" hidden="1">"c8840"</definedName>
    <definedName name="IQ_OCCUPANCY_EXP_AVG_ASSETS_FFIEC" hidden="1">"c13372"</definedName>
    <definedName name="IQ_OCCUPANCY_EXP_OPERATING_INC_FFIEC" hidden="1">"c13380"</definedName>
    <definedName name="IQ_OCCUPANCY_MANAGED" hidden="1">"c8842"</definedName>
    <definedName name="IQ_OCCUPANCY_OTHER" hidden="1">"c8843"</definedName>
    <definedName name="IQ_OCCUPANCY_SAME_PROP" hidden="1">"c8845"</definedName>
    <definedName name="IQ_OCCUPANCY_TOTAL" hidden="1">"c8844"</definedName>
    <definedName name="IQ_OCCUPANCY_UNCONSOL" hidden="1">"c8841"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GAS_EQUIV_PRODUCTION_MMCFE" hidden="1">"c10061"</definedName>
    <definedName name="IQ_OG_AVG_DAILY_OIL_EQUIV_PRODUCTION_KBOE" hidden="1">"c10060"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PRODUCTION_GAS_MMCM" hidden="1">"c10059"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AVG_GAS_PRICE_CBM_HEDGED" hidden="1">"c10054"</definedName>
    <definedName name="IQ_OG_AVG_GAS_PRICE_CBM_UNHEDGED" hidden="1">"c10055"</definedName>
    <definedName name="IQ_OG_AVG_PRODUCTION_COST_BBL" hidden="1">"c10062"</definedName>
    <definedName name="IQ_OG_AVG_PRODUCTION_COST_BOE" hidden="1">"c10064"</definedName>
    <definedName name="IQ_OG_AVG_PRODUCTION_COST_MCF" hidden="1">"c10063"</definedName>
    <definedName name="IQ_OG_AVG_PRODUCTION_COST_MCFE" hidden="1">"c10065"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AILY_PRDUCTION_GROWTH_GAS" hidden="1">"c12732"</definedName>
    <definedName name="IQ_OG_DAILY_PRDUCTION_GROWTH_GAS_EQUIVALENT" hidden="1">"c12733"</definedName>
    <definedName name="IQ_OG_DAILY_PRDUCTION_GROWTH_NGL" hidden="1">"c12734"</definedName>
    <definedName name="IQ_OG_DAILY_PRDUCTION_GROWTH_OIL" hidden="1">"c12735"</definedName>
    <definedName name="IQ_OG_DAILY_PRDUCTION_GROWTH_OIL_EQUIVALENT" hidden="1">"c12736"</definedName>
    <definedName name="IQ_OG_DAILY_PRODUCTION_GROWTH_GAS" hidden="1">"c10073"</definedName>
    <definedName name="IQ_OG_DAILY_PRODUCTION_GROWTH_GAS_EQUIVALENT" hidden="1">"c10076"</definedName>
    <definedName name="IQ_OG_DAILY_PRODUCTION_GROWTH_NGL" hidden="1">"c10074"</definedName>
    <definedName name="IQ_OG_DAILY_PRODUCTION_GROWTH_OIL" hidden="1">"c10072"</definedName>
    <definedName name="IQ_OG_DAILY_PRODUCTION_GROWTH_OIL_EQUIVALENT" hidden="1">"c10075"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GAS_BCM" hidden="1">"c10045"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AFFILIATES_RESERVES_GAS_BCM" hidden="1">"c10047"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PLORATION_DEVELOPMENT_COST" hidden="1">"c10081"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GROSS_DEVELOPED_AREA_SQ_KM" hidden="1">"c10079"</definedName>
    <definedName name="IQ_OG_GROSS_DEVELOPMENT_DRY_WELLS_DRILLED" hidden="1">"c10098"</definedName>
    <definedName name="IQ_OG_GROSS_DEVELOPMENT_PRODUCTIVE_WELLS_DRILLED" hidden="1">"c10097"</definedName>
    <definedName name="IQ_OG_GROSS_DEVELOPMENT_TOTAL_WELLS_DRILLED" hidden="1">"c10099"</definedName>
    <definedName name="IQ_OG_GROSS_EXPLORATORY_DRY_WELLS_DRILLED" hidden="1">"c10095"</definedName>
    <definedName name="IQ_OG_GROSS_EXPLORATORY_PRODUCTIVE_WELLS_DRILLED" hidden="1">"c10094"</definedName>
    <definedName name="IQ_OG_GROSS_EXPLORATORY_TOTAL_WELLS_DRILLED" hidden="1">"c10096"</definedName>
    <definedName name="IQ_OG_GROSS_OPERATED_WELLS" hidden="1">"c10092"</definedName>
    <definedName name="IQ_OG_GROSS_PRODUCTIVE_WELLS_GAS" hidden="1">"c10087"</definedName>
    <definedName name="IQ_OG_GROSS_PRODUCTIVE_WELLS_OIL" hidden="1">"c10086"</definedName>
    <definedName name="IQ_OG_GROSS_PRODUCTIVE_WELLS_TOTAL" hidden="1">"c10088"</definedName>
    <definedName name="IQ_OG_GROSS_TOTAL_WELLS_DRILLED" hidden="1">"c10100"</definedName>
    <definedName name="IQ_OG_GROSS_UNDEVELOPED_AREA_SQ_KM" hidden="1">"c10077"</definedName>
    <definedName name="IQ_OG_GROSS_WELLS_DRILLING" hidden="1">"c10108"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DEVELOPED_AREA_SQ_KM" hidden="1">"c10080"</definedName>
    <definedName name="IQ_OG_NET_DEVELOPMENT_DRY_WELLS_DRILLED" hidden="1">"c10105"</definedName>
    <definedName name="IQ_OG_NET_DEVELOPMENT_PRODUCTIVE_WELLS_DRILLED" hidden="1">"c10104"</definedName>
    <definedName name="IQ_OG_NET_DEVELOPMENT_TOTAL_WELLS_DRILLED" hidden="1">"c10106"</definedName>
    <definedName name="IQ_OG_NET_EXPLORATORY_DRY_WELLS_DRILLED" hidden="1">"c10102"</definedName>
    <definedName name="IQ_OG_NET_EXPLORATORY_PRODUCTIVE_WELLS_DRILLED" hidden="1">"c10101"</definedName>
    <definedName name="IQ_OG_NET_EXPLORATORY_TOTAL_WELLS_DRILLED" hidden="1">"c10103"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NET_OPERATED_WELLS" hidden="1">"c10093"</definedName>
    <definedName name="IQ_OG_NET_PRODUCTIVE_WELLS_GAS" hidden="1">"c10090"</definedName>
    <definedName name="IQ_OG_NET_PRODUCTIVE_WELLS_OIL" hidden="1">"c10089"</definedName>
    <definedName name="IQ_OG_NET_PRODUCTIVE_WELLS_TOTAL" hidden="1">"c10091"</definedName>
    <definedName name="IQ_OG_NET_TOTAL_WELLS_DRILLED" hidden="1">"c10107"</definedName>
    <definedName name="IQ_OG_NET_UNDEVELOPED_AREA_SQ_KM" hidden="1">"c10078"</definedName>
    <definedName name="IQ_OG_NET_WELLS_DRILLING" hidden="1">"c10109"</definedName>
    <definedName name="IQ_OG_NUMBER_WELLS_NEW" hidden="1">"c10085"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DUCTION_GROWTH_GAS" hidden="1">"c12737"</definedName>
    <definedName name="IQ_OG_PRDUCTION_GROWTH_GAS_EQUIVALENT" hidden="1">"c12738"</definedName>
    <definedName name="IQ_OG_PRDUCTION_GROWTH_NGL" hidden="1">"c12739"</definedName>
    <definedName name="IQ_OG_PRDUCTION_GROWTH_OIL" hidden="1">"c12740"</definedName>
    <definedName name="IQ_OG_PRDUCTION_GROWTH_OIL_EQUIVALENT" hidden="1">"c12741"</definedName>
    <definedName name="IQ_OG_PRDUCTION_GROWTH_TOAL" hidden="1">"c12742"</definedName>
    <definedName name="IQ_OG_PRODUCTION_GAS" hidden="1">"c2047"</definedName>
    <definedName name="IQ_OG_PRODUCTION_GROWTH_GAS" hidden="1">"c10067"</definedName>
    <definedName name="IQ_OG_PRODUCTION_GROWTH_GAS_EQUIVALENT" hidden="1">"c10070"</definedName>
    <definedName name="IQ_OG_PRODUCTION_GROWTH_NGL" hidden="1">"c10068"</definedName>
    <definedName name="IQ_OG_PRODUCTION_GROWTH_OIL" hidden="1">"c10066"</definedName>
    <definedName name="IQ_OG_PRODUCTION_GROWTH_OIL_EQUIVALENT" hidden="1">"c10069"</definedName>
    <definedName name="IQ_OG_PRODUCTION_GROWTH_TOTAL" hidden="1">"c10071"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RIGS_NON_OPERATED" hidden="1">"c10083"</definedName>
    <definedName name="IQ_OG_RIGS_OPERATED" hidden="1">"c10082"</definedName>
    <definedName name="IQ_OG_RIGS_TOTAL" hidden="1">"c10084"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EQUIV_PRODUCTION_BCFE" hidden="1">"c10058"</definedName>
    <definedName name="IQ_OG_TOTAL_GAS_PRODUCTION" hidden="1">"c2060"</definedName>
    <definedName name="IQ_OG_TOTAL_LIQUID_GAS_PRODUCTION" hidden="1">"c2235"</definedName>
    <definedName name="IQ_OG_TOTAL_OIL_EQUIV_PRODUCTION_MMBOE" hidden="1">"c10057"</definedName>
    <definedName name="IQ_OG_TOTAL_OIL_PRODUCTION" hidden="1">"c2059"</definedName>
    <definedName name="IQ_OG_TOTAL_OIL_PRODUCTON" hidden="1">"c2059"</definedName>
    <definedName name="IQ_OG_TOTAL_POSSIBLE_RESERVES_GAS_BCF" hidden="1">"c10050"</definedName>
    <definedName name="IQ_OG_TOTAL_POSSIBLE_RESERVES_GAS_BCM" hidden="1">"c10051"</definedName>
    <definedName name="IQ_OG_TOTAL_POSSIBLE_RESERVES_OIL_MMBBLS" hidden="1">"c10053"</definedName>
    <definedName name="IQ_OG_TOTAL_PROBABLE_RESERVES_GAS_BCF" hidden="1">"c10048"</definedName>
    <definedName name="IQ_OG_TOTAL_PROBABLE_RESERVES_GAS_BCM" hidden="1">"c10049"</definedName>
    <definedName name="IQ_OG_TOTAL_PROBABLE_RESERVES_OIL_MMBBLS" hidden="1">"c10052"</definedName>
    <definedName name="IQ_OG_TOTAL_PRODUCTION_GAS_BCM" hidden="1">"c10056"</definedName>
    <definedName name="IQ_OG_TOTAL_PROVED_RESERVES_GAS_BCM" hidden="1">"c10046"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GAS_BCM" hidden="1">"c10044"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ED55" hidden="1">1</definedName>
    <definedName name="IQ_OPENPRICE" hidden="1">"c848"</definedName>
    <definedName name="IQ_OPER_INC" hidden="1">"c849"</definedName>
    <definedName name="IQ_OPER_INC_ACT_OR_EST" hidden="1">"c2220"</definedName>
    <definedName name="IQ_OPER_INC_ACT_OR_EST_THOM" hidden="1">"c5304"</definedName>
    <definedName name="IQ_OPER_INC_BR" hidden="1">"c850"</definedName>
    <definedName name="IQ_OPER_INC_DET_EST" hidden="1">"c12064"</definedName>
    <definedName name="IQ_OPER_INC_DET_EST_CURRENCY" hidden="1">"c12471"</definedName>
    <definedName name="IQ_OPER_INC_DET_EST_CURRENCY_THOM" hidden="1">"c12494"</definedName>
    <definedName name="IQ_OPER_INC_DET_EST_DATE" hidden="1">"c12217"</definedName>
    <definedName name="IQ_OPER_INC_DET_EST_DATE_THOM" hidden="1">"c12245"</definedName>
    <definedName name="IQ_OPER_INC_DET_EST_INCL" hidden="1">"c12354"</definedName>
    <definedName name="IQ_OPER_INC_DET_EST_INCL_THOM" hidden="1">"c12377"</definedName>
    <definedName name="IQ_OPER_INC_DET_EST_ORIGIN" hidden="1">"c12589"</definedName>
    <definedName name="IQ_OPER_INC_DET_EST_ORIGIN_THOM" hidden="1">"c12615"</definedName>
    <definedName name="IQ_OPER_INC_DET_EST_THOM" hidden="1">"c12095"</definedName>
    <definedName name="IQ_OPER_INC_EST" hidden="1">"c1688"</definedName>
    <definedName name="IQ_OPER_INC_EST_THOM" hidden="1">"c5112"</definedName>
    <definedName name="IQ_OPER_INC_FIN" hidden="1">"c851"</definedName>
    <definedName name="IQ_OPER_INC_HIGH_EST" hidden="1">"c1690"</definedName>
    <definedName name="IQ_OPER_INC_HIGH_EST_THOM" hidden="1">"c5114"</definedName>
    <definedName name="IQ_OPER_INC_INS" hidden="1">"c852"</definedName>
    <definedName name="IQ_OPER_INC_LOW_EST" hidden="1">"c1691"</definedName>
    <definedName name="IQ_OPER_INC_LOW_EST_THOM" hidden="1">"c5115"</definedName>
    <definedName name="IQ_OPER_INC_MARGIN" hidden="1">"c1448"</definedName>
    <definedName name="IQ_OPER_INC_MEDIAN_EST" hidden="1">"c1689"</definedName>
    <definedName name="IQ_OPER_INC_MEDIAN_EST_THOM" hidden="1">"c5113"</definedName>
    <definedName name="IQ_OPER_INC_NUM_EST" hidden="1">"c1692"</definedName>
    <definedName name="IQ_OPER_INC_NUM_EST_THOM" hidden="1">"c5116"</definedName>
    <definedName name="IQ_OPER_INC_RE" hidden="1">"c6240"</definedName>
    <definedName name="IQ_OPER_INC_REIT" hidden="1">"c853"</definedName>
    <definedName name="IQ_OPER_INC_STDDEV_EST" hidden="1">"c1693"</definedName>
    <definedName name="IQ_OPER_INC_STDDEV_EST_THOM" hidden="1">"c5117"</definedName>
    <definedName name="IQ_OPER_INC_UTI" hidden="1">"c854"</definedName>
    <definedName name="IQ_OPERATING_EXP_AVG_ASSETS_FFIEC" hidden="1">"c13373"</definedName>
    <definedName name="IQ_OPERATING_INC_AVG_ASSETS_FFIEC" hidden="1">"c13368"</definedName>
    <definedName name="IQ_OPERATING_INC_TE_AVG_ASSETS_FFIEC" hidden="1">"c13360"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FIEC" hidden="1">"c12831"</definedName>
    <definedName name="IQ_OREO_FOREIGN_FDIC" hidden="1">"c6460"</definedName>
    <definedName name="IQ_OREO_MULTI_FAMILY_RESIDENTIAL_FDIC" hidden="1">"c6455"</definedName>
    <definedName name="IQ_OREO_OTHER_FFIEC" hidden="1">"c12833"</definedName>
    <definedName name="IQ_OTHER_ADDITIONS_T1_FFIEC" hidden="1">"c13142"</definedName>
    <definedName name="IQ_OTHER_ADDITIONS_T2_FFIEC" hidden="1">"c13148"</definedName>
    <definedName name="IQ_OTHER_ADJUST_GROSS_LOANS" hidden="1">"c859"</definedName>
    <definedName name="IQ_OTHER_ADJUSTMENTS_COVERED" hidden="1">"c9961"</definedName>
    <definedName name="IQ_OTHER_ADJUSTMENTS_FFIEC" hidden="1">"c12972"</definedName>
    <definedName name="IQ_OTHER_ADJUSTMENTS_GROUP" hidden="1">"c9947"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FIEC" hidden="1">"c12848"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TOTAL_FFIEC" hidden="1">"c12841"</definedName>
    <definedName name="IQ_OTHER_ASSETS_UTI" hidden="1">"c866"</definedName>
    <definedName name="IQ_OTHER_BEARING_LIAB" hidden="1">"c1608"</definedName>
    <definedName name="IQ_OTHER_BEDS" hidden="1">"c8784"</definedName>
    <definedName name="IQ_OTHER_BENEFITS_OBLIGATION" hidden="1">"c867"</definedName>
    <definedName name="IQ_OTHER_BORROWED_FUNDS_FDIC" hidden="1">"c6345"</definedName>
    <definedName name="IQ_OTHER_BORROWED_MONEY_FFIEC" hidden="1">"c12862"</definedName>
    <definedName name="IQ_OTHER_BORROWED_MONEY_LT_FFIEC" hidden="1">"c12865"</definedName>
    <definedName name="IQ_OTHER_BORROWED_MONEY_ST_FFIEC" hidden="1">"c12864"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OMPREHENSIVE_INCOME_FFIEC" hidden="1">"c12970"</definedName>
    <definedName name="IQ_OTHER_CONSTRUCTION_GROSS_LOANS_FFIEC" hidden="1">"c13403"</definedName>
    <definedName name="IQ_OTHER_CONSTRUCTION_LOANS_DUE_30_89_FFIEC" hidden="1">"c13258"</definedName>
    <definedName name="IQ_OTHER_CONSTRUCTION_LOANS_DUE_90_FFIEC" hidden="1">"c13286"</definedName>
    <definedName name="IQ_OTHER_CONSTRUCTION_LOANS_NON_ACCRUAL_FFIEC" hidden="1">"c13312"</definedName>
    <definedName name="IQ_OTHER_CONSTRUCTION_LOANS_UNUSED_FFIEC" hidden="1">"c13245"</definedName>
    <definedName name="IQ_OTHER_CONSTRUCTION_RISK_BASED_FFIEC" hidden="1">"c13424"</definedName>
    <definedName name="IQ_OTHER_CONSUMER_LL_REC_FFIEC" hidden="1">"c12891"</definedName>
    <definedName name="IQ_OTHER_CONSUMER_LOANS_FFIEC" hidden="1">"c12824"</definedName>
    <definedName name="IQ_OTHER_CONSUMER_LOANS_TRADING_DOM_FFIEC" hidden="1">"c12935"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BT_SEC_DOM_AVAIL_SALE_FFIEC" hidden="1">"c12803"</definedName>
    <definedName name="IQ_OTHER_DEBT_SEC_FOREIGN_AVAIL_SALE_FFIEC" hidden="1">"c12804"</definedName>
    <definedName name="IQ_OTHER_DEBT_SEC_INVEST_SECURITIES_FFIEC" hidden="1">"c13462"</definedName>
    <definedName name="IQ_OTHER_DEBT_SEC_TRADING_DOM_FFIEC" hidden="1">"c12924"</definedName>
    <definedName name="IQ_OTHER_DEBT_SEC_TRADING_FFIEC" hidden="1">"c12819"</definedName>
    <definedName name="IQ_OTHER_DEBT_SECURITIES_DOM_FFIEC" hidden="1">"c12789"</definedName>
    <definedName name="IQ_OTHER_DEBT_SECURITIES_FOREIGN_FFIEC" hidden="1">"c12790"</definedName>
    <definedName name="IQ_OTHER_DEDUCTIONS_LEVERAGE_RATIO_FFIEC" hidden="1">"c13158"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EPOSITS_FFIEC" hidden="1">"c12994"</definedName>
    <definedName name="IQ_OTHER_DERIVATIVES_BENEFICIARY_FFIEC" hidden="1">"c13122"</definedName>
    <definedName name="IQ_OTHER_DERIVATIVES_GUARANTOR_FFIEC" hidden="1">"c13115"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CAPITAL_COMPS_FFIEC" hidden="1">"c12880"</definedName>
    <definedName name="IQ_OTHER_EQUITY_FFIEC" hidden="1">"c12879"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EXP_OPERATING_INC_FFIEC" hidden="1">"c13381"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FOREIGN_LOANS_FOREIGN_FFIEC" hidden="1">"c13482"</definedName>
    <definedName name="IQ_OTHER_INSURANCE_FEES_FDIC" hidden="1">"c6672"</definedName>
    <definedName name="IQ_OTHER_INSURANCE_PREMIUMS_FFIEC" hidden="1">"c13071"</definedName>
    <definedName name="IQ_OTHER_INT_EXPENSE_FFIEC" hidden="1">"c12999"</definedName>
    <definedName name="IQ_OTHER_INT_INCOME_FFIEC" hidden="1">"c12988"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ASSETS_FFIEC" hidden="1">"c12837"</definedName>
    <definedName name="IQ_OTHER_INTANGIBLE_ASSETS_TOT_FFIEC" hidden="1">"c12840"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EASES_DUE_30_89_FFIEC" hidden="1">"c13278"</definedName>
    <definedName name="IQ_OTHER_LEASES_DUE_90_FFIEC" hidden="1">"c13304"</definedName>
    <definedName name="IQ_OTHER_LEASES_LL_REC_FFIEC" hidden="1">"c12896"</definedName>
    <definedName name="IQ_OTHER_LEASES_NON_ACCRUAL_FFIEC" hidden="1">"c13330"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IABILITIES_FFIEC" hidden="1">"c12872"</definedName>
    <definedName name="IQ_OTHER_LIABILITIES_TOTAL_FFIEC" hidden="1">"c12869"</definedName>
    <definedName name="IQ_OTHER_LL_REC_FFIEC" hidden="1">"c12894"</definedName>
    <definedName name="IQ_OTHER_LOANS" hidden="1">"c945"</definedName>
    <definedName name="IQ_OTHER_LOANS_CHARGE_OFFS_FDIC" hidden="1">"c6601"</definedName>
    <definedName name="IQ_OTHER_LOANS_DUE_30_89_FFIEC" hidden="1">"c13275"</definedName>
    <definedName name="IQ_OTHER_LOANS_DUE_90_FFIEC" hidden="1">"c13301"</definedName>
    <definedName name="IQ_OTHER_LOANS_FFIEC" hidden="1">"c12825"</definedName>
    <definedName name="IQ_OTHER_LOANS_FOREIGN_FDIC" hidden="1">"c6446"</definedName>
    <definedName name="IQ_OTHER_LOANS_GROSS_LOANS_FFIEC" hidden="1">"c13414"</definedName>
    <definedName name="IQ_OTHER_LOANS_INDIVIDUALS_CHARGE_OFFS_FFIEC" hidden="1">"c13181"</definedName>
    <definedName name="IQ_OTHER_LOANS_INDIVIDUALS_DUE_30_89_FFIEC" hidden="1">"c13273"</definedName>
    <definedName name="IQ_OTHER_LOANS_INDIVIDUALS_DUE_90_FFIEC" hidden="1">"c13299"</definedName>
    <definedName name="IQ_OTHER_LOANS_INDIVIDUALS_NON_ACCRUAL_FFIEC" hidden="1">"c13325"</definedName>
    <definedName name="IQ_OTHER_LOANS_INDIVIDUALS_RECOV_FFIEC" hidden="1">"c13203"</definedName>
    <definedName name="IQ_OTHER_LOANS_LEASES_FDIC" hidden="1">"c6322"</definedName>
    <definedName name="IQ_OTHER_LOANS_LL_REC_DOM_FFIEC" hidden="1">"c12914"</definedName>
    <definedName name="IQ_OTHER_LOANS_NET_CHARGE_OFFS_FDIC" hidden="1">"c6639"</definedName>
    <definedName name="IQ_OTHER_LOANS_NON_ACCRUAL_FFIEC" hidden="1">"c13327"</definedName>
    <definedName name="IQ_OTHER_LOANS_RECOVERIES_FDIC" hidden="1">"c6620"</definedName>
    <definedName name="IQ_OTHER_LOANS_RISK_BASED_FFIEC" hidden="1">"c13435"</definedName>
    <definedName name="IQ_OTHER_LOANS_TOTAL_FDIC" hidden="1">"c6432"</definedName>
    <definedName name="IQ_OTHER_LOANS_TRADING_DOM_FFIEC" hidden="1">"c12936"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MBS_AVAIL_SALE_FFIEC" hidden="1">"c12801"</definedName>
    <definedName name="IQ_OTHER_MBS_FFIEC" hidden="1">"c12787"</definedName>
    <definedName name="IQ_OTHER_MBS_ISSUED_FNMA_GNMA_TRADING_DOM_FFIEC" hidden="1">"c12922"</definedName>
    <definedName name="IQ_OTHER_MBS_ISSUED_FNMA_GNMA_TRADING_FFIEC" hidden="1">"c12817"</definedName>
    <definedName name="IQ_OTHER_MBS_TRADING_DOM_FFIEC" hidden="1">"c12923"</definedName>
    <definedName name="IQ_OTHER_MBS_TRADING_FFIEC" hidden="1">"c12818"</definedName>
    <definedName name="IQ_OTHER_NET" hidden="1">"c1453"</definedName>
    <definedName name="IQ_OTHER_NON_INT_ALLOCATIONS_FFIEC" hidden="1">"c13065"</definedName>
    <definedName name="IQ_OTHER_NON_INT_EXP" hidden="1">"c953"</definedName>
    <definedName name="IQ_OTHER_NON_INT_EXP_FDIC" hidden="1">"c6578"</definedName>
    <definedName name="IQ_OTHER_NON_INT_EXP_FFIEC" hidden="1">"c13027"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INT_INC_OPERATING_INC_FFIEC" hidden="1">"c13392"</definedName>
    <definedName name="IQ_OTHER_NON_INT_INCOME_FFIEC" hidden="1">"c13016"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NONFARM_NONRES_GROSS_LOANS_FFIEC" hidden="1">"c13407"</definedName>
    <definedName name="IQ_OTHER_NONFARM_NONRES_LL_REC_DOM_FFIEC" hidden="1">"c12907"</definedName>
    <definedName name="IQ_OTHER_NONFARM_NONRES_RISK_BASED_FFIEC" hidden="1">"c13428"</definedName>
    <definedName name="IQ_OTHER_OFF_BS_ITEMS_FFIEC" hidden="1">"c13126"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OVER_TOTAL" hidden="1">"c13770"</definedName>
    <definedName name="IQ_OTHER_PC_WRITTEN" hidden="1">"c1006"</definedName>
    <definedName name="IQ_OTHER_PROP" hidden="1">"c8764"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REVOL_CREDIT_CONSUMER_LOANS_FFIEC" hidden="1">"c12823"</definedName>
    <definedName name="IQ_OTHER_REVOLVING_CREDIT_LL_REC_FFIEC" hidden="1">"c12890"</definedName>
    <definedName name="IQ_OTHER_REVOLVING_CREDIT_LOANS_TRADING_DOM_FFIEC" hidden="1">"c12934"</definedName>
    <definedName name="IQ_OTHER_ROOMS" hidden="1">"c8788"</definedName>
    <definedName name="IQ_OTHER_SAVINGS_DEPOSITS_FDIC" hidden="1">"c6554"</definedName>
    <definedName name="IQ_OTHER_SQ_FT" hidden="1">"c8780"</definedName>
    <definedName name="IQ_OTHER_STRIKE_PRICE_GRANTED" hidden="1">"c2692"</definedName>
    <definedName name="IQ_OTHER_TAX_EQUIVALENT_ADJUSTMENTS_FFIEC" hidden="1">"c13855"</definedName>
    <definedName name="IQ_OTHER_TRADING_ASSETS_FFIEC" hidden="1">"c12826"</definedName>
    <definedName name="IQ_OTHER_TRADING_ASSETS_TOTAL_FFIEC" hidden="1">"c12937"</definedName>
    <definedName name="IQ_OTHER_TRADING_LIABILITIES_FFIEC" hidden="1">"c12860"</definedName>
    <definedName name="IQ_OTHER_TRANSACTIONS_FDIC" hidden="1">"c6504"</definedName>
    <definedName name="IQ_OTHER_UNDRAWN" hidden="1">"c2522"</definedName>
    <definedName name="IQ_OTHER_UNITS" hidden="1">"c8772"</definedName>
    <definedName name="IQ_OTHER_UNUSED_COMMITMENTS_FDIC" hidden="1">"c6530"</definedName>
    <definedName name="IQ_OTHER_UNUSED_FFIEC" hidden="1">"c13248"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SUPPLE" hidden="1">"c13816"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VERHEAD_EXP_AVG_ASSETS_FFIEC" hidden="1">"c13361"</definedName>
    <definedName name="IQ_OVERHEAD_EXP_REV_FFIEC" hidden="1">"c13494"</definedName>
    <definedName name="IQ_OVERHEAD_NON_INT_INC_AVG_ASSETS_FFIEC" hidden="1">"c13374"</definedName>
    <definedName name="IQ_OVERHEAD_NON_INT_OPERATING_INC_FFIEC" hidden="1">"c13393"</definedName>
    <definedName name="IQ_OVERHEAD_OPERATING_INC_FFIEC" hidden="1">"c13378"</definedName>
    <definedName name="IQ_OWNER_OCCUPIED_GROSS_LOANS_FFIEC" hidden="1">"c13406"</definedName>
    <definedName name="IQ_OWNER_OCCUPIED_LOANS_RISK_BASED_FFIEC" hidden="1">"c13427"</definedName>
    <definedName name="IQ_OWNER_OCCUPIED_NONFARM_NONRES_LL_REC_DOM_FFIEC" hidden="1">"c12906"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RTICIPATIONS_ACCEPTANCES_FFIEC" hidden="1">"c13254"</definedName>
    <definedName name="IQ_PARTNERSHIP_INC_RE" hidden="1">"c12039"</definedName>
    <definedName name="IQ_PASS_THROUGH_FNMA_GNMA_TRADING_FFIEC" hidden="1">"c12816"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ST_DUE_ALLOW_GROSS_LOANS_FFIEC" hidden="1">"c13416"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CIQ" hidden="1">"c4042"</definedName>
    <definedName name="IQ_PE_EXCL_FWD_THOM" hidden="1">"c4056"</definedName>
    <definedName name="IQ_PE_NORMALIZED" hidden="1">"c2207"</definedName>
    <definedName name="IQ_PE_RATIO" hidden="1">"c1610"</definedName>
    <definedName name="IQ_PEG_FWD" hidden="1">"c1863"</definedName>
    <definedName name="IQ_PEG_FWD_CIQ" hidden="1">"c4045"</definedName>
    <definedName name="IQ_PEG_FWD_THOM" hidden="1">"c4059"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CIQ" hidden="1">"c3790"</definedName>
    <definedName name="IQ_PERCENT_CHANGE_EST_5YR_GROWTH_RATE_12MONTHS_THOM" hidden="1">"c5269"</definedName>
    <definedName name="IQ_PERCENT_CHANGE_EST_5YR_GROWTH_RATE_18MONTHS" hidden="1">"c1853"</definedName>
    <definedName name="IQ_PERCENT_CHANGE_EST_5YR_GROWTH_RATE_18MONTHS_CIQ" hidden="1">"c3791"</definedName>
    <definedName name="IQ_PERCENT_CHANGE_EST_5YR_GROWTH_RATE_18MONTHS_THOM" hidden="1">"c5270"</definedName>
    <definedName name="IQ_PERCENT_CHANGE_EST_5YR_GROWTH_RATE_3MONTHS" hidden="1">"c1849"</definedName>
    <definedName name="IQ_PERCENT_CHANGE_EST_5YR_GROWTH_RATE_3MONTHS_CIQ" hidden="1">"c3787"</definedName>
    <definedName name="IQ_PERCENT_CHANGE_EST_5YR_GROWTH_RATE_3MONTHS_THOM" hidden="1">"c5266"</definedName>
    <definedName name="IQ_PERCENT_CHANGE_EST_5YR_GROWTH_RATE_6MONTHS" hidden="1">"c1850"</definedName>
    <definedName name="IQ_PERCENT_CHANGE_EST_5YR_GROWTH_RATE_6MONTHS_CIQ" hidden="1">"c3788"</definedName>
    <definedName name="IQ_PERCENT_CHANGE_EST_5YR_GROWTH_RATE_6MONTHS_THOM" hidden="1">"c5267"</definedName>
    <definedName name="IQ_PERCENT_CHANGE_EST_5YR_GROWTH_RATE_9MONTHS" hidden="1">"c1851"</definedName>
    <definedName name="IQ_PERCENT_CHANGE_EST_5YR_GROWTH_RATE_9MONTHS_CIQ" hidden="1">"c3789"</definedName>
    <definedName name="IQ_PERCENT_CHANGE_EST_5YR_GROWTH_RATE_9MONTHS_THOM" hidden="1">"c5268"</definedName>
    <definedName name="IQ_PERCENT_CHANGE_EST_5YR_GROWTH_RATE_DAY" hidden="1">"c1846"</definedName>
    <definedName name="IQ_PERCENT_CHANGE_EST_5YR_GROWTH_RATE_DAY_CIQ" hidden="1">"c3785"</definedName>
    <definedName name="IQ_PERCENT_CHANGE_EST_5YR_GROWTH_RATE_DAY_THOM" hidden="1">"c5264"</definedName>
    <definedName name="IQ_PERCENT_CHANGE_EST_5YR_GROWTH_RATE_MONTH" hidden="1">"c1848"</definedName>
    <definedName name="IQ_PERCENT_CHANGE_EST_5YR_GROWTH_RATE_MONTH_CIQ" hidden="1">"c3786"</definedName>
    <definedName name="IQ_PERCENT_CHANGE_EST_5YR_GROWTH_RATE_MONTH_THOM" hidden="1">"c5265"</definedName>
    <definedName name="IQ_PERCENT_CHANGE_EST_5YR_GROWTH_RATE_WEEK" hidden="1">"c1847"</definedName>
    <definedName name="IQ_PERCENT_CHANGE_EST_5YR_GROWTH_RATE_WEEK_CIQ" hidden="1">"c3797"</definedName>
    <definedName name="IQ_PERCENT_CHANGE_EST_5YR_GROWTH_RATE_WEEK_THOM" hidden="1">"c5277"</definedName>
    <definedName name="IQ_PERCENT_CHANGE_EST_CFPS_12MONTHS" hidden="1">"c1812"</definedName>
    <definedName name="IQ_PERCENT_CHANGE_EST_CFPS_12MONTHS_THOM" hidden="1">"c5234"</definedName>
    <definedName name="IQ_PERCENT_CHANGE_EST_CFPS_18MONTHS" hidden="1">"c1813"</definedName>
    <definedName name="IQ_PERCENT_CHANGE_EST_CFPS_18MONTHS_THOM" hidden="1">"c5235"</definedName>
    <definedName name="IQ_PERCENT_CHANGE_EST_CFPS_3MONTHS" hidden="1">"c1809"</definedName>
    <definedName name="IQ_PERCENT_CHANGE_EST_CFPS_3MONTHS_THOM" hidden="1">"c5231"</definedName>
    <definedName name="IQ_PERCENT_CHANGE_EST_CFPS_6MONTHS" hidden="1">"c1810"</definedName>
    <definedName name="IQ_PERCENT_CHANGE_EST_CFPS_6MONTHS_THOM" hidden="1">"c5232"</definedName>
    <definedName name="IQ_PERCENT_CHANGE_EST_CFPS_9MONTHS" hidden="1">"c1811"</definedName>
    <definedName name="IQ_PERCENT_CHANGE_EST_CFPS_9MONTHS_THOM" hidden="1">"c5233"</definedName>
    <definedName name="IQ_PERCENT_CHANGE_EST_CFPS_DAY" hidden="1">"c1806"</definedName>
    <definedName name="IQ_PERCENT_CHANGE_EST_CFPS_DAY_THOM" hidden="1">"c5229"</definedName>
    <definedName name="IQ_PERCENT_CHANGE_EST_CFPS_MONTH" hidden="1">"c1808"</definedName>
    <definedName name="IQ_PERCENT_CHANGE_EST_CFPS_MONTH_THOM" hidden="1">"c5230"</definedName>
    <definedName name="IQ_PERCENT_CHANGE_EST_CFPS_WEEK" hidden="1">"c1807"</definedName>
    <definedName name="IQ_PERCENT_CHANGE_EST_CFPS_WEEK_THOM" hidden="1">"c5272"</definedName>
    <definedName name="IQ_PERCENT_CHANGE_EST_DPS_12MONTHS" hidden="1">"c1820"</definedName>
    <definedName name="IQ_PERCENT_CHANGE_EST_DPS_12MONTHS_THOM" hidden="1">"c5241"</definedName>
    <definedName name="IQ_PERCENT_CHANGE_EST_DPS_18MONTHS" hidden="1">"c1821"</definedName>
    <definedName name="IQ_PERCENT_CHANGE_EST_DPS_18MONTHS_THOM" hidden="1">"c5242"</definedName>
    <definedName name="IQ_PERCENT_CHANGE_EST_DPS_3MONTHS" hidden="1">"c1817"</definedName>
    <definedName name="IQ_PERCENT_CHANGE_EST_DPS_3MONTHS_THOM" hidden="1">"c5238"</definedName>
    <definedName name="IQ_PERCENT_CHANGE_EST_DPS_6MONTHS" hidden="1">"c1818"</definedName>
    <definedName name="IQ_PERCENT_CHANGE_EST_DPS_6MONTHS_THOM" hidden="1">"c5239"</definedName>
    <definedName name="IQ_PERCENT_CHANGE_EST_DPS_9MONTHS" hidden="1">"c1819"</definedName>
    <definedName name="IQ_PERCENT_CHANGE_EST_DPS_9MONTHS_THOM" hidden="1">"c5240"</definedName>
    <definedName name="IQ_PERCENT_CHANGE_EST_DPS_DAY" hidden="1">"c1814"</definedName>
    <definedName name="IQ_PERCENT_CHANGE_EST_DPS_DAY_THOM" hidden="1">"c5236"</definedName>
    <definedName name="IQ_PERCENT_CHANGE_EST_DPS_MONTH" hidden="1">"c1816"</definedName>
    <definedName name="IQ_PERCENT_CHANGE_EST_DPS_MONTH_THOM" hidden="1">"c5237"</definedName>
    <definedName name="IQ_PERCENT_CHANGE_EST_DPS_WEEK" hidden="1">"c1815"</definedName>
    <definedName name="IQ_PERCENT_CHANGE_EST_DPS_WEEK_THOM" hidden="1">"c5273"</definedName>
    <definedName name="IQ_PERCENT_CHANGE_EST_EBITDA_12MONTHS" hidden="1">"c1804"</definedName>
    <definedName name="IQ_PERCENT_CHANGE_EST_EBITDA_12MONTHS_CIQ" hidden="1">"c3748"</definedName>
    <definedName name="IQ_PERCENT_CHANGE_EST_EBITDA_12MONTHS_THOM" hidden="1">"c5227"</definedName>
    <definedName name="IQ_PERCENT_CHANGE_EST_EBITDA_18MONTHS" hidden="1">"c1805"</definedName>
    <definedName name="IQ_PERCENT_CHANGE_EST_EBITDA_18MONTHS_CIQ" hidden="1">"c3749"</definedName>
    <definedName name="IQ_PERCENT_CHANGE_EST_EBITDA_18MONTHS_THOM" hidden="1">"c5228"</definedName>
    <definedName name="IQ_PERCENT_CHANGE_EST_EBITDA_3MONTHS" hidden="1">"c1801"</definedName>
    <definedName name="IQ_PERCENT_CHANGE_EST_EBITDA_3MONTHS_CIQ" hidden="1">"c3745"</definedName>
    <definedName name="IQ_PERCENT_CHANGE_EST_EBITDA_3MONTHS_THOM" hidden="1">"c5224"</definedName>
    <definedName name="IQ_PERCENT_CHANGE_EST_EBITDA_6MONTHS" hidden="1">"c1802"</definedName>
    <definedName name="IQ_PERCENT_CHANGE_EST_EBITDA_6MONTHS_CIQ" hidden="1">"c3746"</definedName>
    <definedName name="IQ_PERCENT_CHANGE_EST_EBITDA_6MONTHS_THOM" hidden="1">"c5225"</definedName>
    <definedName name="IQ_PERCENT_CHANGE_EST_EBITDA_9MONTHS" hidden="1">"c1803"</definedName>
    <definedName name="IQ_PERCENT_CHANGE_EST_EBITDA_9MONTHS_CIQ" hidden="1">"c3747"</definedName>
    <definedName name="IQ_PERCENT_CHANGE_EST_EBITDA_9MONTHS_THOM" hidden="1">"c5226"</definedName>
    <definedName name="IQ_PERCENT_CHANGE_EST_EBITDA_DAY" hidden="1">"c1798"</definedName>
    <definedName name="IQ_PERCENT_CHANGE_EST_EBITDA_DAY_CIQ" hidden="1">"c3743"</definedName>
    <definedName name="IQ_PERCENT_CHANGE_EST_EBITDA_DAY_THOM" hidden="1">"c5222"</definedName>
    <definedName name="IQ_PERCENT_CHANGE_EST_EBITDA_MONTH" hidden="1">"c1800"</definedName>
    <definedName name="IQ_PERCENT_CHANGE_EST_EBITDA_MONTH_CIQ" hidden="1">"c3744"</definedName>
    <definedName name="IQ_PERCENT_CHANGE_EST_EBITDA_MONTH_THOM" hidden="1">"c5223"</definedName>
    <definedName name="IQ_PERCENT_CHANGE_EST_EBITDA_WEEK" hidden="1">"c1799"</definedName>
    <definedName name="IQ_PERCENT_CHANGE_EST_EBITDA_WEEK_CIQ" hidden="1">"c3792"</definedName>
    <definedName name="IQ_PERCENT_CHANGE_EST_EBITDA_WEEK_THOM" hidden="1">"c5271"</definedName>
    <definedName name="IQ_PERCENT_CHANGE_EST_EPS_12MONTHS" hidden="1">"c1788"</definedName>
    <definedName name="IQ_PERCENT_CHANGE_EST_EPS_12MONTHS_CIQ" hidden="1">"c3733"</definedName>
    <definedName name="IQ_PERCENT_CHANGE_EST_EPS_12MONTHS_THOM" hidden="1">"c5212"</definedName>
    <definedName name="IQ_PERCENT_CHANGE_EST_EPS_18MONTHS" hidden="1">"c1789"</definedName>
    <definedName name="IQ_PERCENT_CHANGE_EST_EPS_18MONTHS_CIQ" hidden="1">"c3734"</definedName>
    <definedName name="IQ_PERCENT_CHANGE_EST_EPS_18MONTHS_THOM" hidden="1">"c5213"</definedName>
    <definedName name="IQ_PERCENT_CHANGE_EST_EPS_3MONTHS" hidden="1">"c1785"</definedName>
    <definedName name="IQ_PERCENT_CHANGE_EST_EPS_3MONTHS_CIQ" hidden="1">"c3730"</definedName>
    <definedName name="IQ_PERCENT_CHANGE_EST_EPS_3MONTHS_THOM" hidden="1">"c5209"</definedName>
    <definedName name="IQ_PERCENT_CHANGE_EST_EPS_6MONTHS" hidden="1">"c1786"</definedName>
    <definedName name="IQ_PERCENT_CHANGE_EST_EPS_6MONTHS_CIQ" hidden="1">"c3731"</definedName>
    <definedName name="IQ_PERCENT_CHANGE_EST_EPS_6MONTHS_THOM" hidden="1">"c5210"</definedName>
    <definedName name="IQ_PERCENT_CHANGE_EST_EPS_9MONTHS" hidden="1">"c1787"</definedName>
    <definedName name="IQ_PERCENT_CHANGE_EST_EPS_9MONTHS_CIQ" hidden="1">"c3732"</definedName>
    <definedName name="IQ_PERCENT_CHANGE_EST_EPS_9MONTHS_THOM" hidden="1">"c5211"</definedName>
    <definedName name="IQ_PERCENT_CHANGE_EST_EPS_DAY" hidden="1">"c1782"</definedName>
    <definedName name="IQ_PERCENT_CHANGE_EST_EPS_DAY_CIQ" hidden="1">"c3727"</definedName>
    <definedName name="IQ_PERCENT_CHANGE_EST_EPS_DAY_THOM" hidden="1">"c5206"</definedName>
    <definedName name="IQ_PERCENT_CHANGE_EST_EPS_MONTH" hidden="1">"c1784"</definedName>
    <definedName name="IQ_PERCENT_CHANGE_EST_EPS_MONTH_CIQ" hidden="1">"c3729"</definedName>
    <definedName name="IQ_PERCENT_CHANGE_EST_EPS_MONTH_THOM" hidden="1">"c5208"</definedName>
    <definedName name="IQ_PERCENT_CHANGE_EST_EPS_WEEK" hidden="1">"c1783"</definedName>
    <definedName name="IQ_PERCENT_CHANGE_EST_EPS_WEEK_CIQ" hidden="1">"c3728"</definedName>
    <definedName name="IQ_PERCENT_CHANGE_EST_EPS_WEEK_THOM" hidden="1">"c5207"</definedName>
    <definedName name="IQ_PERCENT_CHANGE_EST_FFO_SHARE_12MONTHS" hidden="1">"c1828"</definedName>
    <definedName name="IQ_PERCENT_CHANGE_EST_FFO_SHARE_12MONTHS_THOM" hidden="1">"c5248"</definedName>
    <definedName name="IQ_PERCENT_CHANGE_EST_FFO_SHARE_18MONTHS" hidden="1">"c1829"</definedName>
    <definedName name="IQ_PERCENT_CHANGE_EST_FFO_SHARE_18MONTHS_THOM" hidden="1">"c5249"</definedName>
    <definedName name="IQ_PERCENT_CHANGE_EST_FFO_SHARE_3MONTHS" hidden="1">"c1825"</definedName>
    <definedName name="IQ_PERCENT_CHANGE_EST_FFO_SHARE_3MONTHS_THOM" hidden="1">"c5245"</definedName>
    <definedName name="IQ_PERCENT_CHANGE_EST_FFO_SHARE_6MONTHS" hidden="1">"c1826"</definedName>
    <definedName name="IQ_PERCENT_CHANGE_EST_FFO_SHARE_6MONTHS_THOM" hidden="1">"c5246"</definedName>
    <definedName name="IQ_PERCENT_CHANGE_EST_FFO_SHARE_9MONTHS" hidden="1">"c1827"</definedName>
    <definedName name="IQ_PERCENT_CHANGE_EST_FFO_SHARE_9MONTHS_THOM" hidden="1">"c5247"</definedName>
    <definedName name="IQ_PERCENT_CHANGE_EST_FFO_SHARE_DAY" hidden="1">"c1822"</definedName>
    <definedName name="IQ_PERCENT_CHANGE_EST_FFO_SHARE_DAY_THOM" hidden="1">"c5243"</definedName>
    <definedName name="IQ_PERCENT_CHANGE_EST_FFO_SHARE_MONTH" hidden="1">"c1824"</definedName>
    <definedName name="IQ_PERCENT_CHANGE_EST_FFO_SHARE_MONTH_THOM" hidden="1">"c5244"</definedName>
    <definedName name="IQ_PERCENT_CHANGE_EST_FFO_SHARE_WEEK" hidden="1">"c1823"</definedName>
    <definedName name="IQ_PERCENT_CHANGE_EST_FFO_SHARE_WEEK_THOM" hidden="1">"c5274"</definedName>
    <definedName name="IQ_PERCENT_CHANGE_EST_PRICE_TARGET_12MONTHS" hidden="1">"c1844"</definedName>
    <definedName name="IQ_PERCENT_CHANGE_EST_PRICE_TARGET_12MONTHS_CIQ" hidden="1">"c3783"</definedName>
    <definedName name="IQ_PERCENT_CHANGE_EST_PRICE_TARGET_12MONTHS_THOM" hidden="1">"c5262"</definedName>
    <definedName name="IQ_PERCENT_CHANGE_EST_PRICE_TARGET_18MONTHS" hidden="1">"c1845"</definedName>
    <definedName name="IQ_PERCENT_CHANGE_EST_PRICE_TARGET_18MONTHS_CIQ" hidden="1">"c3784"</definedName>
    <definedName name="IQ_PERCENT_CHANGE_EST_PRICE_TARGET_18MONTHS_THOM" hidden="1">"c5263"</definedName>
    <definedName name="IQ_PERCENT_CHANGE_EST_PRICE_TARGET_3MONTHS" hidden="1">"c1841"</definedName>
    <definedName name="IQ_PERCENT_CHANGE_EST_PRICE_TARGET_3MONTHS_CIQ" hidden="1">"c3780"</definedName>
    <definedName name="IQ_PERCENT_CHANGE_EST_PRICE_TARGET_3MONTHS_THOM" hidden="1">"c5259"</definedName>
    <definedName name="IQ_PERCENT_CHANGE_EST_PRICE_TARGET_6MONTHS" hidden="1">"c1842"</definedName>
    <definedName name="IQ_PERCENT_CHANGE_EST_PRICE_TARGET_6MONTHS_CIQ" hidden="1">"c3781"</definedName>
    <definedName name="IQ_PERCENT_CHANGE_EST_PRICE_TARGET_6MONTHS_THOM" hidden="1">"c5260"</definedName>
    <definedName name="IQ_PERCENT_CHANGE_EST_PRICE_TARGET_9MONTHS" hidden="1">"c1843"</definedName>
    <definedName name="IQ_PERCENT_CHANGE_EST_PRICE_TARGET_9MONTHS_CIQ" hidden="1">"c3782"</definedName>
    <definedName name="IQ_PERCENT_CHANGE_EST_PRICE_TARGET_9MONTHS_THOM" hidden="1">"c5261"</definedName>
    <definedName name="IQ_PERCENT_CHANGE_EST_PRICE_TARGET_DAY" hidden="1">"c1838"</definedName>
    <definedName name="IQ_PERCENT_CHANGE_EST_PRICE_TARGET_DAY_CIQ" hidden="1">"c3778"</definedName>
    <definedName name="IQ_PERCENT_CHANGE_EST_PRICE_TARGET_DAY_THOM" hidden="1">"c5257"</definedName>
    <definedName name="IQ_PERCENT_CHANGE_EST_PRICE_TARGET_MONTH" hidden="1">"c1840"</definedName>
    <definedName name="IQ_PERCENT_CHANGE_EST_PRICE_TARGET_MONTH_CIQ" hidden="1">"c3779"</definedName>
    <definedName name="IQ_PERCENT_CHANGE_EST_PRICE_TARGET_MONTH_THOM" hidden="1">"c5258"</definedName>
    <definedName name="IQ_PERCENT_CHANGE_EST_PRICE_TARGET_WEEK" hidden="1">"c1839"</definedName>
    <definedName name="IQ_PERCENT_CHANGE_EST_PRICE_TARGET_WEEK_CIQ" hidden="1">"c3798"</definedName>
    <definedName name="IQ_PERCENT_CHANGE_EST_PRICE_TARGET_WEEK_THOM" hidden="1">"c5276"</definedName>
    <definedName name="IQ_PERCENT_CHANGE_EST_RECO_12MONTHS" hidden="1">"c1836"</definedName>
    <definedName name="IQ_PERCENT_CHANGE_EST_RECO_12MONTHS_CIQ" hidden="1">"c3776"</definedName>
    <definedName name="IQ_PERCENT_CHANGE_EST_RECO_12MONTHS_THOM" hidden="1">"c5255"</definedName>
    <definedName name="IQ_PERCENT_CHANGE_EST_RECO_18MONTHS" hidden="1">"c1837"</definedName>
    <definedName name="IQ_PERCENT_CHANGE_EST_RECO_18MONTHS_CIQ" hidden="1">"c3777"</definedName>
    <definedName name="IQ_PERCENT_CHANGE_EST_RECO_18MONTHS_THOM" hidden="1">"c5256"</definedName>
    <definedName name="IQ_PERCENT_CHANGE_EST_RECO_3MONTHS" hidden="1">"c1833"</definedName>
    <definedName name="IQ_PERCENT_CHANGE_EST_RECO_3MONTHS_CIQ" hidden="1">"c3773"</definedName>
    <definedName name="IQ_PERCENT_CHANGE_EST_RECO_3MONTHS_THOM" hidden="1">"c5252"</definedName>
    <definedName name="IQ_PERCENT_CHANGE_EST_RECO_6MONTHS" hidden="1">"c1834"</definedName>
    <definedName name="IQ_PERCENT_CHANGE_EST_RECO_6MONTHS_CIQ" hidden="1">"c3774"</definedName>
    <definedName name="IQ_PERCENT_CHANGE_EST_RECO_6MONTHS_THOM" hidden="1">"c5253"</definedName>
    <definedName name="IQ_PERCENT_CHANGE_EST_RECO_9MONTHS" hidden="1">"c1835"</definedName>
    <definedName name="IQ_PERCENT_CHANGE_EST_RECO_9MONTHS_CIQ" hidden="1">"c3775"</definedName>
    <definedName name="IQ_PERCENT_CHANGE_EST_RECO_9MONTHS_THOM" hidden="1">"c5254"</definedName>
    <definedName name="IQ_PERCENT_CHANGE_EST_RECO_DAY" hidden="1">"c1830"</definedName>
    <definedName name="IQ_PERCENT_CHANGE_EST_RECO_DAY_CIQ" hidden="1">"c3771"</definedName>
    <definedName name="IQ_PERCENT_CHANGE_EST_RECO_DAY_THOM" hidden="1">"c5250"</definedName>
    <definedName name="IQ_PERCENT_CHANGE_EST_RECO_MONTH" hidden="1">"c1832"</definedName>
    <definedName name="IQ_PERCENT_CHANGE_EST_RECO_MONTH_CIQ" hidden="1">"c3772"</definedName>
    <definedName name="IQ_PERCENT_CHANGE_EST_RECO_MONTH_THOM" hidden="1">"c5251"</definedName>
    <definedName name="IQ_PERCENT_CHANGE_EST_RECO_WEEK" hidden="1">"c1831"</definedName>
    <definedName name="IQ_PERCENT_CHANGE_EST_RECO_WEEK_CIQ" hidden="1">"c3796"</definedName>
    <definedName name="IQ_PERCENT_CHANGE_EST_RECO_WEEK_THOM" hidden="1">"c5275"</definedName>
    <definedName name="IQ_PERCENT_CHANGE_EST_REV_12MONTHS" hidden="1">"c1796"</definedName>
    <definedName name="IQ_PERCENT_CHANGE_EST_REV_12MONTHS_CIQ" hidden="1">"c3741"</definedName>
    <definedName name="IQ_PERCENT_CHANGE_EST_REV_12MONTHS_THOM" hidden="1">"c5220"</definedName>
    <definedName name="IQ_PERCENT_CHANGE_EST_REV_18MONTHS" hidden="1">"c1797"</definedName>
    <definedName name="IQ_PERCENT_CHANGE_EST_REV_18MONTHS_CIQ" hidden="1">"c3742"</definedName>
    <definedName name="IQ_PERCENT_CHANGE_EST_REV_18MONTHS_THOM" hidden="1">"c5221"</definedName>
    <definedName name="IQ_PERCENT_CHANGE_EST_REV_3MONTHS" hidden="1">"c1793"</definedName>
    <definedName name="IQ_PERCENT_CHANGE_EST_REV_3MONTHS_CIQ" hidden="1">"c3738"</definedName>
    <definedName name="IQ_PERCENT_CHANGE_EST_REV_3MONTHS_THOM" hidden="1">"c5217"</definedName>
    <definedName name="IQ_PERCENT_CHANGE_EST_REV_6MONTHS" hidden="1">"c1794"</definedName>
    <definedName name="IQ_PERCENT_CHANGE_EST_REV_6MONTHS_CIQ" hidden="1">"c3739"</definedName>
    <definedName name="IQ_PERCENT_CHANGE_EST_REV_6MONTHS_THOM" hidden="1">"c5218"</definedName>
    <definedName name="IQ_PERCENT_CHANGE_EST_REV_9MONTHS" hidden="1">"c1795"</definedName>
    <definedName name="IQ_PERCENT_CHANGE_EST_REV_9MONTHS_CIQ" hidden="1">"c3740"</definedName>
    <definedName name="IQ_PERCENT_CHANGE_EST_REV_9MONTHS_THOM" hidden="1">"c5219"</definedName>
    <definedName name="IQ_PERCENT_CHANGE_EST_REV_DAY" hidden="1">"c1790"</definedName>
    <definedName name="IQ_PERCENT_CHANGE_EST_REV_DAY_CIQ" hidden="1">"c3735"</definedName>
    <definedName name="IQ_PERCENT_CHANGE_EST_REV_DAY_THOM" hidden="1">"c5214"</definedName>
    <definedName name="IQ_PERCENT_CHANGE_EST_REV_MONTH" hidden="1">"c1792"</definedName>
    <definedName name="IQ_PERCENT_CHANGE_EST_REV_MONTH_CIQ" hidden="1">"c3737"</definedName>
    <definedName name="IQ_PERCENT_CHANGE_EST_REV_MONTH_THOM" hidden="1">"c5216"</definedName>
    <definedName name="IQ_PERCENT_CHANGE_EST_REV_WEEK" hidden="1">"c1791"</definedName>
    <definedName name="IQ_PERCENT_CHANGE_EST_REV_WEEK_CIQ" hidden="1">"c3736"</definedName>
    <definedName name="IQ_PERCENT_CHANGE_EST_REV_WEEK_THOM" hidden="1">"c5215"</definedName>
    <definedName name="IQ_PERCENT_INSURED_FDIC" hidden="1">"c6374"</definedName>
    <definedName name="IQ_PERFORMANCE_LOC_FOREIGN_GUARANTEES_FFIEC" hidden="1">"c13251"</definedName>
    <definedName name="IQ_PERIODDATE" hidden="1">"c1414"</definedName>
    <definedName name="IQ_PERIODDATE_AP" hidden="1">"c11745"</definedName>
    <definedName name="IQ_PERIODDATE_BS" hidden="1">"c1032"</definedName>
    <definedName name="IQ_PERIODDATE_CF" hidden="1">"c1033"</definedName>
    <definedName name="IQ_PERIODDATE_FDIC" hidden="1">"c13646"</definedName>
    <definedName name="IQ_PERIODDATE_FFIEC" hidden="1">"c13645"</definedName>
    <definedName name="IQ_PERIODDATE_IS" hidden="1">"c1034"</definedName>
    <definedName name="IQ_PERIODLENGTH_AP" hidden="1">"c11746"</definedName>
    <definedName name="IQ_PERIODLENGTH_CF" hidden="1">"c1502"</definedName>
    <definedName name="IQ_PERIODLENGTH_IS" hidden="1">"c1503"</definedName>
    <definedName name="IQ_PERSONAL_CONSUMER_SPENDING_DURABLE" hidden="1">"c6942"</definedName>
    <definedName name="IQ_PERSONAL_CONSUMER_SPENDING_DURABLE_APR" hidden="1">"c7602"</definedName>
    <definedName name="IQ_PERSONAL_CONSUMER_SPENDING_DURABLE_APR_FC" hidden="1">"c8482"</definedName>
    <definedName name="IQ_PERSONAL_CONSUMER_SPENDING_DURABLE_FC" hidden="1">"c7822"</definedName>
    <definedName name="IQ_PERSONAL_CONSUMER_SPENDING_DURABLE_POP" hidden="1">"c7162"</definedName>
    <definedName name="IQ_PERSONAL_CONSUMER_SPENDING_DURABLE_POP_FC" hidden="1">"c8042"</definedName>
    <definedName name="IQ_PERSONAL_CONSUMER_SPENDING_DURABLE_YOY" hidden="1">"c7382"</definedName>
    <definedName name="IQ_PERSONAL_CONSUMER_SPENDING_DURABLE_YOY_FC" hidden="1">"c8262"</definedName>
    <definedName name="IQ_PERSONAL_CONSUMER_SPENDING_NONDURABLE" hidden="1">"c6940"</definedName>
    <definedName name="IQ_PERSONAL_CONSUMER_SPENDING_NONDURABLE_APR" hidden="1">"c7600"</definedName>
    <definedName name="IQ_PERSONAL_CONSUMER_SPENDING_NONDURABLE_APR_FC" hidden="1">"c8480"</definedName>
    <definedName name="IQ_PERSONAL_CONSUMER_SPENDING_NONDURABLE_FC" hidden="1">"c7820"</definedName>
    <definedName name="IQ_PERSONAL_CONSUMER_SPENDING_NONDURABLE_POP" hidden="1">"c7160"</definedName>
    <definedName name="IQ_PERSONAL_CONSUMER_SPENDING_NONDURABLE_POP_FC" hidden="1">"c8040"</definedName>
    <definedName name="IQ_PERSONAL_CONSUMER_SPENDING_NONDURABLE_YOY" hidden="1">"c7380"</definedName>
    <definedName name="IQ_PERSONAL_CONSUMER_SPENDING_NONDURABLE_YOY_FC" hidden="1">"c8260"</definedName>
    <definedName name="IQ_PERSONAL_CONSUMER_SPENDING_REAL" hidden="1">"c6994"</definedName>
    <definedName name="IQ_PERSONAL_CONSUMER_SPENDING_REAL_APR" hidden="1">"c7654"</definedName>
    <definedName name="IQ_PERSONAL_CONSUMER_SPENDING_REAL_APR_FC" hidden="1">"c8534"</definedName>
    <definedName name="IQ_PERSONAL_CONSUMER_SPENDING_REAL_FC" hidden="1">"c7874"</definedName>
    <definedName name="IQ_PERSONAL_CONSUMER_SPENDING_REAL_POP" hidden="1">"c7214"</definedName>
    <definedName name="IQ_PERSONAL_CONSUMER_SPENDING_REAL_POP_FC" hidden="1">"c8094"</definedName>
    <definedName name="IQ_PERSONAL_CONSUMER_SPENDING_REAL_YOY" hidden="1">"c7434"</definedName>
    <definedName name="IQ_PERSONAL_CONSUMER_SPENDING_REAL_YOY_FC" hidden="1">"c8314"</definedName>
    <definedName name="IQ_PERSONAL_CONSUMER_SPENDING_SERVICES" hidden="1">"c6941"</definedName>
    <definedName name="IQ_PERSONAL_CONSUMER_SPENDING_SERVICES_APR" hidden="1">"c7601"</definedName>
    <definedName name="IQ_PERSONAL_CONSUMER_SPENDING_SERVICES_APR_FC" hidden="1">"c8481"</definedName>
    <definedName name="IQ_PERSONAL_CONSUMER_SPENDING_SERVICES_FC" hidden="1">"c7821"</definedName>
    <definedName name="IQ_PERSONAL_CONSUMER_SPENDING_SERVICES_POP" hidden="1">"c7161"</definedName>
    <definedName name="IQ_PERSONAL_CONSUMER_SPENDING_SERVICES_POP_FC" hidden="1">"c8041"</definedName>
    <definedName name="IQ_PERSONAL_CONSUMER_SPENDING_SERVICES_YOY" hidden="1">"c7381"</definedName>
    <definedName name="IQ_PERSONAL_CONSUMER_SPENDING_SERVICES_YOY_FC" hidden="1">"c8261"</definedName>
    <definedName name="IQ_PERSONAL_INCOME" hidden="1">"c6943"</definedName>
    <definedName name="IQ_PERSONAL_INCOME_APR" hidden="1">"c7603"</definedName>
    <definedName name="IQ_PERSONAL_INCOME_APR_FC" hidden="1">"c8483"</definedName>
    <definedName name="IQ_PERSONAL_INCOME_FC" hidden="1">"c7823"</definedName>
    <definedName name="IQ_PERSONAL_INCOME_POP" hidden="1">"c7163"</definedName>
    <definedName name="IQ_PERSONAL_INCOME_POP_FC" hidden="1">"c8043"</definedName>
    <definedName name="IQ_PERSONAL_INCOME_SAAR" hidden="1">"c6944"</definedName>
    <definedName name="IQ_PERSONAL_INCOME_SAAR_APR" hidden="1">"c7604"</definedName>
    <definedName name="IQ_PERSONAL_INCOME_SAAR_APR_FC" hidden="1">"c8484"</definedName>
    <definedName name="IQ_PERSONAL_INCOME_SAAR_FC" hidden="1">"c7824"</definedName>
    <definedName name="IQ_PERSONAL_INCOME_SAAR_POP" hidden="1">"c7164"</definedName>
    <definedName name="IQ_PERSONAL_INCOME_SAAR_POP_FC" hidden="1">"c8044"</definedName>
    <definedName name="IQ_PERSONAL_INCOME_SAAR_YOY" hidden="1">"c7384"</definedName>
    <definedName name="IQ_PERSONAL_INCOME_SAAR_YOY_FC" hidden="1">"c8264"</definedName>
    <definedName name="IQ_PERSONAL_INCOME_USD_APR_FC" hidden="1">"c11885"</definedName>
    <definedName name="IQ_PERSONAL_INCOME_USD_FC" hidden="1">"c11882"</definedName>
    <definedName name="IQ_PERSONAL_INCOME_USD_POP_FC" hidden="1">"c11883"</definedName>
    <definedName name="IQ_PERSONAL_INCOME_USD_YOY_FC" hidden="1">"c11884"</definedName>
    <definedName name="IQ_PERSONAL_INCOME_YOY" hidden="1">"c7383"</definedName>
    <definedName name="IQ_PERSONAL_INCOME_YOY_FC" hidden="1">"c8263"</definedName>
    <definedName name="IQ_PERSONNEL_EXP_AVG_ASSETS_FFIEC" hidden="1">"c13371"</definedName>
    <definedName name="IQ_PERSONNEL_EXP_OPERATING_INC_FFIEC" hidden="1">"c13379"</definedName>
    <definedName name="IQ_PERTYPE" hidden="1">"c1611"</definedName>
    <definedName name="IQ_PHARMBIO_NUMBER_LICENSED_PATENT_APP" hidden="1">"c10018"</definedName>
    <definedName name="IQ_PHARMBIO_NUMBER_LICENSED_PATENTS" hidden="1">"c10017"</definedName>
    <definedName name="IQ_PHARMBIO_NUMBER_PATENTS" hidden="1">"c10015"</definedName>
    <definedName name="IQ_PHARMBIO_NUMBER_PROD__APPROVED_DURING_PERIOD" hidden="1">"c12750"</definedName>
    <definedName name="IQ_PHARMBIO_NUMBER_PROD__CLINICAL_DEV" hidden="1">"c12745"</definedName>
    <definedName name="IQ_PHARMBIO_NUMBER_PROD__LAUNCHED_DURING_PERIOD" hidden="1">"c12751"</definedName>
    <definedName name="IQ_PHARMBIO_NUMBER_PROD__PHASE_I" hidden="1">"c12746"</definedName>
    <definedName name="IQ_PHARMBIO_NUMBER_PROD__PHASE_II" hidden="1">"c12747"</definedName>
    <definedName name="IQ_PHARMBIO_NUMBER_PROD__PHASE_III" hidden="1">"c12748"</definedName>
    <definedName name="IQ_PHARMBIO_NUMBER_PROD__PRE_CLINICAL_TRIALS" hidden="1">"c12744"</definedName>
    <definedName name="IQ_PHARMBIO_NUMBER_PROD__PRE_REGISTRATION" hidden="1">"c12749"</definedName>
    <definedName name="IQ_PHARMBIO_NUMBER_PROD__RESEARCH_DEV" hidden="1">"c12743"</definedName>
    <definedName name="IQ_PHARMBIO_NUMBER_PROD_APPROVED_DURING_PERIOD" hidden="1">"c10027"</definedName>
    <definedName name="IQ_PHARMBIO_NUMBER_PROD_CLINICAL_DEV" hidden="1">"c10022"</definedName>
    <definedName name="IQ_PHARMBIO_NUMBER_PROD_DISCOVERY_RESEARCH" hidden="1">"c10019"</definedName>
    <definedName name="IQ_PHARMBIO_NUMBER_PROD_LAUNCHED_DURING_PERIOD" hidden="1">"c10028"</definedName>
    <definedName name="IQ_PHARMBIO_NUMBER_PROD_PHASE_I" hidden="1">"c10023"</definedName>
    <definedName name="IQ_PHARMBIO_NUMBER_PROD_PHASE_II" hidden="1">"c10024"</definedName>
    <definedName name="IQ_PHARMBIO_NUMBER_PROD_PHASE_III" hidden="1">"c10025"</definedName>
    <definedName name="IQ_PHARMBIO_NUMBER_PROD_PRE_CLINICAL_TRIALS" hidden="1">"c10021"</definedName>
    <definedName name="IQ_PHARMBIO_NUMBER_PROD_PRE_REGISTRATION" hidden="1">"c10026"</definedName>
    <definedName name="IQ_PHARMBIO_NUMBER_PROD_RESEARCH_DEV" hidden="1">"c10020"</definedName>
    <definedName name="IQ_PHARMBIO_PATENT_APP" hidden="1">"c10016"</definedName>
    <definedName name="IQ_PHILADELPHIA_FED_DIFFUSION_INDEX" hidden="1">"c6945"</definedName>
    <definedName name="IQ_PHILADELPHIA_FED_DIFFUSION_INDEX_APR" hidden="1">"c7605"</definedName>
    <definedName name="IQ_PHILADELPHIA_FED_DIFFUSION_INDEX_APR_FC" hidden="1">"c8485"</definedName>
    <definedName name="IQ_PHILADELPHIA_FED_DIFFUSION_INDEX_FC" hidden="1">"c7825"</definedName>
    <definedName name="IQ_PHILADELPHIA_FED_DIFFUSION_INDEX_POP" hidden="1">"c7165"</definedName>
    <definedName name="IQ_PHILADELPHIA_FED_DIFFUSION_INDEX_POP_FC" hidden="1">"c8045"</definedName>
    <definedName name="IQ_PHILADELPHIA_FED_DIFFUSION_INDEX_YOY" hidden="1">"c7385"</definedName>
    <definedName name="IQ_PHILADELPHIA_FED_DIFFUSION_INDEX_YOY_FC" hidden="1">"c8265"</definedName>
    <definedName name="IQ_PLEDGED_SEC_INVEST_SECURITIES_FFIEC" hidden="1">"c13467"</definedName>
    <definedName name="IQ_PLEDGED_SECURITIES_FDIC" hidden="1">"c6401"</definedName>
    <definedName name="IQ_PLL" hidden="1">"c2114"</definedName>
    <definedName name="IQ_PMAC_DIFFUSION_INDEX" hidden="1">"c6946"</definedName>
    <definedName name="IQ_PMAC_DIFFUSION_INDEX_APR" hidden="1">"c7606"</definedName>
    <definedName name="IQ_PMAC_DIFFUSION_INDEX_APR_FC" hidden="1">"c8486"</definedName>
    <definedName name="IQ_PMAC_DIFFUSION_INDEX_FC" hidden="1">"c7826"</definedName>
    <definedName name="IQ_PMAC_DIFFUSION_INDEX_POP" hidden="1">"c7166"</definedName>
    <definedName name="IQ_PMAC_DIFFUSION_INDEX_POP_FC" hidden="1">"c8046"</definedName>
    <definedName name="IQ_PMAC_DIFFUSION_INDEX_YOY" hidden="1">"c7386"</definedName>
    <definedName name="IQ_PMAC_DIFFUSION_INDEX_YOY_FC" hidden="1">"c8266"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LICYHOLDER_BENEFITS_LH_FFIEC" hidden="1">"c13107"</definedName>
    <definedName name="IQ_POOL_AMT_ORIGINAL" hidden="1">"c8970"</definedName>
    <definedName name="IQ_POOL_NAME" hidden="1">"c8967"</definedName>
    <definedName name="IQ_POOL_NUMBER" hidden="1">"c8968"</definedName>
    <definedName name="IQ_POOL_TYPE" hidden="1">"c8969"</definedName>
    <definedName name="IQ_POSITIVE_FAIR_VALUE_DERIVATIVES_BENEFICIARY_FFIEC" hidden="1">"c13123"</definedName>
    <definedName name="IQ_POSITIVE_FAIR_VALUE_DERIVATIVES_GUARANTOR_FFIEC" hidden="1">"c13116"</definedName>
    <definedName name="IQ_POST_RETIRE_EXP" hidden="1">"c1039"</definedName>
    <definedName name="IQ_POSTAGE_FFIEC" hidden="1">"c13051"</definedName>
    <definedName name="IQ_POSTPAID_CHURN" hidden="1">"c2121"</definedName>
    <definedName name="IQ_POSTPAID_SUBS" hidden="1">"c2118"</definedName>
    <definedName name="IQ_POTENTIAL_UPSIDE" hidden="1">"c1855"</definedName>
    <definedName name="IQ_POTENTIAL_UPSIDE_CIQ" hidden="1">"c3799"</definedName>
    <definedName name="IQ_POTENTIAL_UPSIDE_THOM" hidden="1">"c5279"</definedName>
    <definedName name="IQ_PP_ATTRIB_ORE_RESERVES_ALUM" hidden="1">"c9218"</definedName>
    <definedName name="IQ_PP_ATTRIB_ORE_RESERVES_COP" hidden="1">"c9162"</definedName>
    <definedName name="IQ_PP_ATTRIB_ORE_RESERVES_DIAM" hidden="1">"c9642"</definedName>
    <definedName name="IQ_PP_ATTRIB_ORE_RESERVES_GOLD" hidden="1">"c9003"</definedName>
    <definedName name="IQ_PP_ATTRIB_ORE_RESERVES_IRON" hidden="1">"c9377"</definedName>
    <definedName name="IQ_PP_ATTRIB_ORE_RESERVES_LEAD" hidden="1">"c9430"</definedName>
    <definedName name="IQ_PP_ATTRIB_ORE_RESERVES_MANG" hidden="1">"c9483"</definedName>
    <definedName name="IQ_PP_ATTRIB_ORE_RESERVES_MOLYB" hidden="1">"c9695"</definedName>
    <definedName name="IQ_PP_ATTRIB_ORE_RESERVES_NICK" hidden="1">"c9271"</definedName>
    <definedName name="IQ_PP_ATTRIB_ORE_RESERVES_PLAT" hidden="1">"c9109"</definedName>
    <definedName name="IQ_PP_ATTRIB_ORE_RESERVES_SILVER" hidden="1">"c9056"</definedName>
    <definedName name="IQ_PP_ATTRIB_ORE_RESERVES_TITAN" hidden="1">"c9536"</definedName>
    <definedName name="IQ_PP_ATTRIB_ORE_RESERVES_URAN" hidden="1">"c9589"</definedName>
    <definedName name="IQ_PP_ATTRIB_ORE_RESERVES_ZINC" hidden="1">"c9324"</definedName>
    <definedName name="IQ_PP_ORE_RESERVES_ALUM" hidden="1">"c9211"</definedName>
    <definedName name="IQ_PP_ORE_RESERVES_COP" hidden="1">"c9155"</definedName>
    <definedName name="IQ_PP_ORE_RESERVES_DIAM" hidden="1">"c9635"</definedName>
    <definedName name="IQ_PP_ORE_RESERVES_GOLD" hidden="1">"c8996"</definedName>
    <definedName name="IQ_PP_ORE_RESERVES_IRON" hidden="1">"c9370"</definedName>
    <definedName name="IQ_PP_ORE_RESERVES_LEAD" hidden="1">"c9423"</definedName>
    <definedName name="IQ_PP_ORE_RESERVES_MANG" hidden="1">"c9476"</definedName>
    <definedName name="IQ_PP_ORE_RESERVES_MOLYB" hidden="1">"c9688"</definedName>
    <definedName name="IQ_PP_ORE_RESERVES_NICK" hidden="1">"c9264"</definedName>
    <definedName name="IQ_PP_ORE_RESERVES_PLAT" hidden="1">"c9102"</definedName>
    <definedName name="IQ_PP_ORE_RESERVES_SILVER" hidden="1">"c9049"</definedName>
    <definedName name="IQ_PP_ORE_RESERVES_TITAN" hidden="1">"c9529"</definedName>
    <definedName name="IQ_PP_ORE_RESERVES_URAN" hidden="1">"c9582"</definedName>
    <definedName name="IQ_PP_ORE_RESERVES_ZINC" hidden="1">"c9317"</definedName>
    <definedName name="IQ_PP_RECOV_ATTRIB_RESERVES_ALUM" hidden="1">"c9221"</definedName>
    <definedName name="IQ_PP_RECOV_ATTRIB_RESERVES_COAL" hidden="1">"c9805"</definedName>
    <definedName name="IQ_PP_RECOV_ATTRIB_RESERVES_COP" hidden="1">"c9165"</definedName>
    <definedName name="IQ_PP_RECOV_ATTRIB_RESERVES_DIAM" hidden="1">"c9645"</definedName>
    <definedName name="IQ_PP_RECOV_ATTRIB_RESERVES_GOLD" hidden="1">"c9006"</definedName>
    <definedName name="IQ_PP_RECOV_ATTRIB_RESERVES_IRON" hidden="1">"c9380"</definedName>
    <definedName name="IQ_PP_RECOV_ATTRIB_RESERVES_LEAD" hidden="1">"c9433"</definedName>
    <definedName name="IQ_PP_RECOV_ATTRIB_RESERVES_MANG" hidden="1">"c9486"</definedName>
    <definedName name="IQ_PP_RECOV_ATTRIB_RESERVES_MET_COAL" hidden="1">"c9745"</definedName>
    <definedName name="IQ_PP_RECOV_ATTRIB_RESERVES_MOLYB" hidden="1">"c9698"</definedName>
    <definedName name="IQ_PP_RECOV_ATTRIB_RESERVES_NICK" hidden="1">"c9274"</definedName>
    <definedName name="IQ_PP_RECOV_ATTRIB_RESERVES_PLAT" hidden="1">"c9112"</definedName>
    <definedName name="IQ_PP_RECOV_ATTRIB_RESERVES_SILVER" hidden="1">"c9059"</definedName>
    <definedName name="IQ_PP_RECOV_ATTRIB_RESERVES_STEAM" hidden="1">"c9775"</definedName>
    <definedName name="IQ_PP_RECOV_ATTRIB_RESERVES_TITAN" hidden="1">"c9539"</definedName>
    <definedName name="IQ_PP_RECOV_ATTRIB_RESERVES_URAN" hidden="1">"c9592"</definedName>
    <definedName name="IQ_PP_RECOV_ATTRIB_RESERVES_ZINC" hidden="1">"c9327"</definedName>
    <definedName name="IQ_PP_RECOV_RESERVES_ALUM" hidden="1">"c9215"</definedName>
    <definedName name="IQ_PP_RECOV_RESERVES_COAL" hidden="1">"c9802"</definedName>
    <definedName name="IQ_PP_RECOV_RESERVES_COP" hidden="1">"c9159"</definedName>
    <definedName name="IQ_PP_RECOV_RESERVES_DIAM" hidden="1">"c9639"</definedName>
    <definedName name="IQ_PP_RECOV_RESERVES_GOLD" hidden="1">"c9000"</definedName>
    <definedName name="IQ_PP_RECOV_RESERVES_IRON" hidden="1">"c9374"</definedName>
    <definedName name="IQ_PP_RECOV_RESERVES_LEAD" hidden="1">"c9427"</definedName>
    <definedName name="IQ_PP_RECOV_RESERVES_MANG" hidden="1">"c9480"</definedName>
    <definedName name="IQ_PP_RECOV_RESERVES_MET_COAL" hidden="1">"c9742"</definedName>
    <definedName name="IQ_PP_RECOV_RESERVES_MOLYB" hidden="1">"c9692"</definedName>
    <definedName name="IQ_PP_RECOV_RESERVES_NICK" hidden="1">"c9268"</definedName>
    <definedName name="IQ_PP_RECOV_RESERVES_PLAT" hidden="1">"c9106"</definedName>
    <definedName name="IQ_PP_RECOV_RESERVES_SILVER" hidden="1">"c9053"</definedName>
    <definedName name="IQ_PP_RECOV_RESERVES_STEAM" hidden="1">"c9772"</definedName>
    <definedName name="IQ_PP_RECOV_RESERVES_TITAN" hidden="1">"c9533"</definedName>
    <definedName name="IQ_PP_RECOV_RESERVES_URAN" hidden="1">"c9586"</definedName>
    <definedName name="IQ_PP_RECOV_RESERVES_ZINC" hidden="1">"c9321"</definedName>
    <definedName name="IQ_PP_RESERVES_CALORIFIC_VALUE_COAL" hidden="1">"c9799"</definedName>
    <definedName name="IQ_PP_RESERVES_CALORIFIC_VALUE_MET_COAL" hidden="1">"c9739"</definedName>
    <definedName name="IQ_PP_RESERVES_CALORIFIC_VALUE_STEAM" hidden="1">"c9769"</definedName>
    <definedName name="IQ_PP_RESERVES_GRADE_ALUM" hidden="1">"c9212"</definedName>
    <definedName name="IQ_PP_RESERVES_GRADE_COP" hidden="1">"c9156"</definedName>
    <definedName name="IQ_PP_RESERVES_GRADE_DIAM" hidden="1">"c9636"</definedName>
    <definedName name="IQ_PP_RESERVES_GRADE_GOLD" hidden="1">"c8997"</definedName>
    <definedName name="IQ_PP_RESERVES_GRADE_IRON" hidden="1">"c9371"</definedName>
    <definedName name="IQ_PP_RESERVES_GRADE_LEAD" hidden="1">"c9424"</definedName>
    <definedName name="IQ_PP_RESERVES_GRADE_MANG" hidden="1">"c9477"</definedName>
    <definedName name="IQ_PP_RESERVES_GRADE_MOLYB" hidden="1">"c9689"</definedName>
    <definedName name="IQ_PP_RESERVES_GRADE_NICK" hidden="1">"c9265"</definedName>
    <definedName name="IQ_PP_RESERVES_GRADE_PLAT" hidden="1">"c9103"</definedName>
    <definedName name="IQ_PP_RESERVES_GRADE_SILVER" hidden="1">"c9050"</definedName>
    <definedName name="IQ_PP_RESERVES_GRADE_TITAN" hidden="1">"c9530"</definedName>
    <definedName name="IQ_PP_RESERVES_GRADE_URAN" hidden="1">"c9583"</definedName>
    <definedName name="IQ_PP_RESERVES_GRADE_ZINC" hidden="1">"c9318"</definedName>
    <definedName name="IQ_PPI" hidden="1">"c6810"</definedName>
    <definedName name="IQ_PPI_APR" hidden="1">"c7470"</definedName>
    <definedName name="IQ_PPI_APR_FC" hidden="1">"c8350"</definedName>
    <definedName name="IQ_PPI_CORE" hidden="1">"c6840"</definedName>
    <definedName name="IQ_PPI_CORE_APR" hidden="1">"c7500"</definedName>
    <definedName name="IQ_PPI_CORE_APR_FC" hidden="1">"c8380"</definedName>
    <definedName name="IQ_PPI_CORE_FC" hidden="1">"c7720"</definedName>
    <definedName name="IQ_PPI_CORE_POP" hidden="1">"c7060"</definedName>
    <definedName name="IQ_PPI_CORE_POP_FC" hidden="1">"c7940"</definedName>
    <definedName name="IQ_PPI_CORE_YOY" hidden="1">"c7280"</definedName>
    <definedName name="IQ_PPI_CORE_YOY_FC" hidden="1">"c8160"</definedName>
    <definedName name="IQ_PPI_FC" hidden="1">"c7690"</definedName>
    <definedName name="IQ_PPI_POP" hidden="1">"c7030"</definedName>
    <definedName name="IQ_PPI_POP_FC" hidden="1">"c7910"</definedName>
    <definedName name="IQ_PPI_YOY" hidden="1">"c7250"</definedName>
    <definedName name="IQ_PPI_YOY_FC" hidden="1">"c8130"</definedName>
    <definedName name="IQ_PRE_OPEN_COST" hidden="1">"c1040"</definedName>
    <definedName name="IQ_PRE_TAX_ACT_OR_EST" hidden="1">"c2221"</definedName>
    <definedName name="IQ_PRE_TAX_ACT_OR_EST_THOM" hidden="1">"c5305"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STOCK_FFIEC" hidden="1">"c12875"</definedName>
    <definedName name="IQ_PREF_TOT" hidden="1">"c1415"</definedName>
    <definedName name="IQ_PREFERRED_FDIC" hidden="1">"c6349"</definedName>
    <definedName name="IQ_PREFERRED_LIST" hidden="1">"c13506"</definedName>
    <definedName name="IQ_PREMISES_EQUIPMENT_FDIC" hidden="1">"c6577"</definedName>
    <definedName name="IQ_PREMISES_FIXED_ASSETS_CAP_LEASES_FFIEC" hidden="1">"c12830"</definedName>
    <definedName name="IQ_PREMIUM_INSURANCE_CREDIT_FFIEC" hidden="1">"c13070"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_DET_EST" hidden="1">"c12055"</definedName>
    <definedName name="IQ_PRETAX_INC_DET_EST_CURRENCY" hidden="1">"c12462"</definedName>
    <definedName name="IQ_PRETAX_INC_DET_EST_CURRENCY_THOM" hidden="1">"c12483"</definedName>
    <definedName name="IQ_PRETAX_INC_DET_EST_DATE" hidden="1">"c12208"</definedName>
    <definedName name="IQ_PRETAX_INC_DET_EST_DATE_THOM" hidden="1">"c12234"</definedName>
    <definedName name="IQ_PRETAX_INC_DET_EST_INCL" hidden="1">"c12345"</definedName>
    <definedName name="IQ_PRETAX_INC_DET_EST_INCL_THOM" hidden="1">"c12366"</definedName>
    <definedName name="IQ_PRETAX_INC_DET_EST_ORIGIN" hidden="1">"c12771"</definedName>
    <definedName name="IQ_PRETAX_INC_DET_EST_ORIGIN_THOM" hidden="1">"c12604"</definedName>
    <definedName name="IQ_PRETAX_INC_DET_EST_THOM" hidden="1">"c12084"</definedName>
    <definedName name="IQ_PRETAX_INC_EST" hidden="1">"c1695"</definedName>
    <definedName name="IQ_PRETAX_INC_EST_THOM" hidden="1">"c5119"</definedName>
    <definedName name="IQ_PRETAX_INC_HIGH_EST" hidden="1">"c1697"</definedName>
    <definedName name="IQ_PRETAX_INC_HIGH_EST_THOM" hidden="1">"c5121"</definedName>
    <definedName name="IQ_PRETAX_INC_LOW_EST" hidden="1">"c1698"</definedName>
    <definedName name="IQ_PRETAX_INC_LOW_EST_THOM" hidden="1">"c5122"</definedName>
    <definedName name="IQ_PRETAX_INC_MEDIAN_EST" hidden="1">"c1696"</definedName>
    <definedName name="IQ_PRETAX_INC_MEDIAN_EST_THOM" hidden="1">"c5120"</definedName>
    <definedName name="IQ_PRETAX_INC_NUM_EST" hidden="1">"c1699"</definedName>
    <definedName name="IQ_PRETAX_INC_NUM_EST_THOM" hidden="1">"c5123"</definedName>
    <definedName name="IQ_PRETAX_INC_STDDEV_EST" hidden="1">"c1700"</definedName>
    <definedName name="IQ_PRETAX_INC_STDDEV_EST_THOM" hidden="1">"c5124"</definedName>
    <definedName name="IQ_PRETAX_OPERATING_INC_AVG_ASSETS_FFIEC" hidden="1">"c13365"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ETAX_RETURN_ASSETS_FDIC" hidden="1">"c6731"</definedName>
    <definedName name="IQ_PREV_MONTHLY_FACTOR" hidden="1">"c8973"</definedName>
    <definedName name="IQ_PREV_MONTHLY_FACTOR_DATE" hidden="1">"c8974"</definedName>
    <definedName name="IQ_PRICE_CFPS_FWD" hidden="1">"c2237"</definedName>
    <definedName name="IQ_PRICE_CFPS_FWD_THOM" hidden="1">"c4060"</definedName>
    <definedName name="IQ_PRICE_OVER_BVPS" hidden="1">"c1412"</definedName>
    <definedName name="IQ_PRICE_OVER_LTM_EPS" hidden="1">"c1413"</definedName>
    <definedName name="IQ_PRICE_PAID_FARM_INDEX" hidden="1">"c6948"</definedName>
    <definedName name="IQ_PRICE_PAID_FARM_INDEX_APR" hidden="1">"c7608"</definedName>
    <definedName name="IQ_PRICE_PAID_FARM_INDEX_APR_FC" hidden="1">"c8488"</definedName>
    <definedName name="IQ_PRICE_PAID_FARM_INDEX_FC" hidden="1">"c7828"</definedName>
    <definedName name="IQ_PRICE_PAID_FARM_INDEX_POP" hidden="1">"c7168"</definedName>
    <definedName name="IQ_PRICE_PAID_FARM_INDEX_POP_FC" hidden="1">"c8048"</definedName>
    <definedName name="IQ_PRICE_PAID_FARM_INDEX_YOY" hidden="1">"c7388"</definedName>
    <definedName name="IQ_PRICE_PAID_FARM_INDEX_YOY_FC" hidden="1">"c8268"</definedName>
    <definedName name="IQ_PRICE_TARGET" hidden="1">"c82"</definedName>
    <definedName name="IQ_PRICE_TARGET_BOTTOM_UP" hidden="1">"c5486"</definedName>
    <definedName name="IQ_PRICE_TARGET_BOTTOM_UP_CIQ" hidden="1">"c12023"</definedName>
    <definedName name="IQ_PRICE_TARGET_CIQ" hidden="1">"c3613"</definedName>
    <definedName name="IQ_PRICE_TARGET_THOM" hidden="1">"c3649"</definedName>
    <definedName name="IQ_PRICE_VOLATILITY_EST" hidden="1">"c4492"</definedName>
    <definedName name="IQ_PRICE_VOLATILITY_HIGH" hidden="1">"c4493"</definedName>
    <definedName name="IQ_PRICE_VOLATILITY_LOW" hidden="1">"c4494"</definedName>
    <definedName name="IQ_PRICE_VOLATILITY_MEDIAN" hidden="1">"c4495"</definedName>
    <definedName name="IQ_PRICE_VOLATILITY_NUM" hidden="1">"c4496"</definedName>
    <definedName name="IQ_PRICE_VOLATILITY_STDDEV" hidden="1">"c4497"</definedName>
    <definedName name="IQ_PRICEDATE" hidden="1">"c1069"</definedName>
    <definedName name="IQ_PRICING_DATE" hidden="1">"c1613"</definedName>
    <definedName name="IQ_PRIMARY_EPS_TYPE" hidden="1">"c4498"</definedName>
    <definedName name="IQ_PRIMARY_INDUSTRY" hidden="1">"c1070"</definedName>
    <definedName name="IQ_PRINCIPAL_AMT" hidden="1">"c2157"</definedName>
    <definedName name="IQ_PRIVATE_CONST_TOTAL_APR_FC_UNUSED" hidden="1">"c8559"</definedName>
    <definedName name="IQ_PRIVATE_CONST_TOTAL_APR_UNUSED" hidden="1">"c7679"</definedName>
    <definedName name="IQ_PRIVATE_CONST_TOTAL_FC_UNUSED" hidden="1">"c7899"</definedName>
    <definedName name="IQ_PRIVATE_CONST_TOTAL_POP_FC_UNUSED" hidden="1">"c8119"</definedName>
    <definedName name="IQ_PRIVATE_CONST_TOTAL_POP_UNUSED" hidden="1">"c7239"</definedName>
    <definedName name="IQ_PRIVATE_CONST_TOTAL_UNUSED" hidden="1">"c7019"</definedName>
    <definedName name="IQ_PRIVATE_CONST_TOTAL_YOY_FC_UNUSED" hidden="1">"c8339"</definedName>
    <definedName name="IQ_PRIVATE_CONST_TOTAL_YOY_UNUSED" hidden="1">"c7459"</definedName>
    <definedName name="IQ_PRIVATE_FIXED_INVEST_TOTAL" hidden="1">"c12006"</definedName>
    <definedName name="IQ_PRIVATE_FIXED_INVEST_TOTAL_APR" hidden="1">"c12009"</definedName>
    <definedName name="IQ_PRIVATE_FIXED_INVEST_TOTAL_POP" hidden="1">"c12007"</definedName>
    <definedName name="IQ_PRIVATE_FIXED_INVEST_TOTAL_YOY" hidden="1">"c12008"</definedName>
    <definedName name="IQ_PRIVATE_NONRES_CONST_IMPROV" hidden="1">"c6949"</definedName>
    <definedName name="IQ_PRIVATE_NONRES_CONST_IMPROV_APR" hidden="1">"c7609"</definedName>
    <definedName name="IQ_PRIVATE_NONRES_CONST_IMPROV_APR_FC" hidden="1">"c8489"</definedName>
    <definedName name="IQ_PRIVATE_NONRES_CONST_IMPROV_FC" hidden="1">"c7829"</definedName>
    <definedName name="IQ_PRIVATE_NONRES_CONST_IMPROV_POP" hidden="1">"c7169"</definedName>
    <definedName name="IQ_PRIVATE_NONRES_CONST_IMPROV_POP_FC" hidden="1">"c8049"</definedName>
    <definedName name="IQ_PRIVATE_NONRES_CONST_IMPROV_YOY" hidden="1">"c7389"</definedName>
    <definedName name="IQ_PRIVATE_NONRES_CONST_IMPROV_YOY_FC" hidden="1">"c8269"</definedName>
    <definedName name="IQ_PRIVATE_RES_CONST_IMPROV" hidden="1">"c6950"</definedName>
    <definedName name="IQ_PRIVATE_RES_CONST_IMPROV_APR" hidden="1">"c7610"</definedName>
    <definedName name="IQ_PRIVATE_RES_CONST_IMPROV_APR_FC" hidden="1">"c8490"</definedName>
    <definedName name="IQ_PRIVATE_RES_CONST_IMPROV_FC" hidden="1">"c7830"</definedName>
    <definedName name="IQ_PRIVATE_RES_CONST_IMPROV_POP" hidden="1">"c7170"</definedName>
    <definedName name="IQ_PRIVATE_RES_CONST_IMPROV_POP_FC" hidden="1">"c8050"</definedName>
    <definedName name="IQ_PRIVATE_RES_CONST_IMPROV_YOY" hidden="1">"c7390"</definedName>
    <definedName name="IQ_PRIVATE_RES_CONST_IMPROV_YOY_FC" hidden="1">"c8270"</definedName>
    <definedName name="IQ_PRIVATE_RES_CONST_REAL_APR_FC_UNUSED" hidden="1">"c8535"</definedName>
    <definedName name="IQ_PRIVATE_RES_CONST_REAL_APR_UNUSED" hidden="1">"c7655"</definedName>
    <definedName name="IQ_PRIVATE_RES_CONST_REAL_FC_UNUSED" hidden="1">"c7875"</definedName>
    <definedName name="IQ_PRIVATE_RES_CONST_REAL_POP_FC_UNUSED" hidden="1">"c8095"</definedName>
    <definedName name="IQ_PRIVATE_RES_CONST_REAL_POP_UNUSED" hidden="1">"c7215"</definedName>
    <definedName name="IQ_PRIVATE_RES_CONST_REAL_UNUSED" hidden="1">"c6995"</definedName>
    <definedName name="IQ_PRIVATE_RES_CONST_REAL_YOY_FC_UNUSED" hidden="1">"c8315"</definedName>
    <definedName name="IQ_PRIVATE_RES_CONST_REAL_YOY_UNUSED" hidden="1">"c7435"</definedName>
    <definedName name="IQ_PRIVATE_RES_FIXED_INVEST_REAL" hidden="1">"c11986"</definedName>
    <definedName name="IQ_PRIVATE_RES_FIXED_INVEST_REAL_APR" hidden="1">"c11989"</definedName>
    <definedName name="IQ_PRIVATE_RES_FIXED_INVEST_REAL_POP" hidden="1">"c11987"</definedName>
    <definedName name="IQ_PRIVATE_RES_FIXED_INVEST_REAL_YOY" hidden="1">"c11988"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BABLE_ATTRIB_ORE_RESERVES_ALUM" hidden="1">"c9217"</definedName>
    <definedName name="IQ_PROBABLE_ATTRIB_ORE_RESERVES_COP" hidden="1">"c9161"</definedName>
    <definedName name="IQ_PROBABLE_ATTRIB_ORE_RESERVES_DIAM" hidden="1">"c9641"</definedName>
    <definedName name="IQ_PROBABLE_ATTRIB_ORE_RESERVES_GOLD" hidden="1">"c9002"</definedName>
    <definedName name="IQ_PROBABLE_ATTRIB_ORE_RESERVES_IRON" hidden="1">"c9376"</definedName>
    <definedName name="IQ_PROBABLE_ATTRIB_ORE_RESERVES_LEAD" hidden="1">"c9429"</definedName>
    <definedName name="IQ_PROBABLE_ATTRIB_ORE_RESERVES_MANG" hidden="1">"c9482"</definedName>
    <definedName name="IQ_PROBABLE_ATTRIB_ORE_RESERVES_MOLYB" hidden="1">"c9694"</definedName>
    <definedName name="IQ_PROBABLE_ATTRIB_ORE_RESERVES_NICK" hidden="1">"c9270"</definedName>
    <definedName name="IQ_PROBABLE_ATTRIB_ORE_RESERVES_PLAT" hidden="1">"c9108"</definedName>
    <definedName name="IQ_PROBABLE_ATTRIB_ORE_RESERVES_SILVER" hidden="1">"c9055"</definedName>
    <definedName name="IQ_PROBABLE_ATTRIB_ORE_RESERVES_TITAN" hidden="1">"c9535"</definedName>
    <definedName name="IQ_PROBABLE_ATTRIB_ORE_RESERVES_URAN" hidden="1">"c9588"</definedName>
    <definedName name="IQ_PROBABLE_ATTRIB_ORE_RESERVES_ZINC" hidden="1">"c9323"</definedName>
    <definedName name="IQ_PROBABLE_ORE_RESERVES_ALUM" hidden="1">"c9209"</definedName>
    <definedName name="IQ_PROBABLE_ORE_RESERVES_COP" hidden="1">"c9153"</definedName>
    <definedName name="IQ_PROBABLE_ORE_RESERVES_DIAM" hidden="1">"c9633"</definedName>
    <definedName name="IQ_PROBABLE_ORE_RESERVES_GOLD" hidden="1">"c8994"</definedName>
    <definedName name="IQ_PROBABLE_ORE_RESERVES_IRON" hidden="1">"c9368"</definedName>
    <definedName name="IQ_PROBABLE_ORE_RESERVES_LEAD" hidden="1">"c9421"</definedName>
    <definedName name="IQ_PROBABLE_ORE_RESERVES_MANG" hidden="1">"c9474"</definedName>
    <definedName name="IQ_PROBABLE_ORE_RESERVES_MOLYB" hidden="1">"c9686"</definedName>
    <definedName name="IQ_PROBABLE_ORE_RESERVES_NICK" hidden="1">"c9262"</definedName>
    <definedName name="IQ_PROBABLE_ORE_RESERVES_PLAT" hidden="1">"c9100"</definedName>
    <definedName name="IQ_PROBABLE_ORE_RESERVES_SILVER" hidden="1">"c9047"</definedName>
    <definedName name="IQ_PROBABLE_ORE_RESERVES_TITAN" hidden="1">"c9527"</definedName>
    <definedName name="IQ_PROBABLE_ORE_RESERVES_URAN" hidden="1">"c9580"</definedName>
    <definedName name="IQ_PROBABLE_ORE_RESERVES_ZINC" hidden="1">"c9315"</definedName>
    <definedName name="IQ_PROBABLE_RECOV_ATTRIB_RESERVES_ALUM" hidden="1">"c9220"</definedName>
    <definedName name="IQ_PROBABLE_RECOV_ATTRIB_RESERVES_COAL" hidden="1">"c9804"</definedName>
    <definedName name="IQ_PROBABLE_RECOV_ATTRIB_RESERVES_COP" hidden="1">"c9164"</definedName>
    <definedName name="IQ_PROBABLE_RECOV_ATTRIB_RESERVES_DIAM" hidden="1">"c9644"</definedName>
    <definedName name="IQ_PROBABLE_RECOV_ATTRIB_RESERVES_GOLD" hidden="1">"c9005"</definedName>
    <definedName name="IQ_PROBABLE_RECOV_ATTRIB_RESERVES_IRON" hidden="1">"c9379"</definedName>
    <definedName name="IQ_PROBABLE_RECOV_ATTRIB_RESERVES_LEAD" hidden="1">"c9432"</definedName>
    <definedName name="IQ_PROBABLE_RECOV_ATTRIB_RESERVES_MANG" hidden="1">"c9485"</definedName>
    <definedName name="IQ_PROBABLE_RECOV_ATTRIB_RESERVES_MET_COAL" hidden="1">"c9744"</definedName>
    <definedName name="IQ_PROBABLE_RECOV_ATTRIB_RESERVES_MOLYB" hidden="1">"c9697"</definedName>
    <definedName name="IQ_PROBABLE_RECOV_ATTRIB_RESERVES_NICK" hidden="1">"c9273"</definedName>
    <definedName name="IQ_PROBABLE_RECOV_ATTRIB_RESERVES_PLAT" hidden="1">"c9111"</definedName>
    <definedName name="IQ_PROBABLE_RECOV_ATTRIB_RESERVES_SILVER" hidden="1">"c9058"</definedName>
    <definedName name="IQ_PROBABLE_RECOV_ATTRIB_RESERVES_STEAM" hidden="1">"c9774"</definedName>
    <definedName name="IQ_PROBABLE_RECOV_ATTRIB_RESERVES_TITAN" hidden="1">"c9538"</definedName>
    <definedName name="IQ_PROBABLE_RECOV_ATTRIB_RESERVES_URAN" hidden="1">"c9591"</definedName>
    <definedName name="IQ_PROBABLE_RECOV_ATTRIB_RESERVES_ZINC" hidden="1">"c9326"</definedName>
    <definedName name="IQ_PROBABLE_RECOV_RESERVES_ALUM" hidden="1">"c9214"</definedName>
    <definedName name="IQ_PROBABLE_RECOV_RESERVES_COAL" hidden="1">"c9801"</definedName>
    <definedName name="IQ_PROBABLE_RECOV_RESERVES_COP" hidden="1">"c9158"</definedName>
    <definedName name="IQ_PROBABLE_RECOV_RESERVES_DIAM" hidden="1">"c9638"</definedName>
    <definedName name="IQ_PROBABLE_RECOV_RESERVES_GOLD" hidden="1">"c8999"</definedName>
    <definedName name="IQ_PROBABLE_RECOV_RESERVES_IRON" hidden="1">"c9373"</definedName>
    <definedName name="IQ_PROBABLE_RECOV_RESERVES_LEAD" hidden="1">"c9426"</definedName>
    <definedName name="IQ_PROBABLE_RECOV_RESERVES_MANG" hidden="1">"c9479"</definedName>
    <definedName name="IQ_PROBABLE_RECOV_RESERVES_MET_COAL" hidden="1">"c9741"</definedName>
    <definedName name="IQ_PROBABLE_RECOV_RESERVES_MOLYB" hidden="1">"c9691"</definedName>
    <definedName name="IQ_PROBABLE_RECOV_RESERVES_NICK" hidden="1">"c9267"</definedName>
    <definedName name="IQ_PROBABLE_RECOV_RESERVES_PLAT" hidden="1">"c9105"</definedName>
    <definedName name="IQ_PROBABLE_RECOV_RESERVES_SILVER" hidden="1">"c9052"</definedName>
    <definedName name="IQ_PROBABLE_RECOV_RESERVES_STEAM" hidden="1">"c9771"</definedName>
    <definedName name="IQ_PROBABLE_RECOV_RESERVES_TITAN" hidden="1">"c9532"</definedName>
    <definedName name="IQ_PROBABLE_RECOV_RESERVES_URAN" hidden="1">"c9585"</definedName>
    <definedName name="IQ_PROBABLE_RECOV_RESERVES_ZINC" hidden="1">"c9320"</definedName>
    <definedName name="IQ_PROBABLE_RESERVES_CALORIFIC_VALUE_COAL" hidden="1">"c9798"</definedName>
    <definedName name="IQ_PROBABLE_RESERVES_CALORIFIC_VALUE_MET_COAL" hidden="1">"c9738"</definedName>
    <definedName name="IQ_PROBABLE_RESERVES_CALORIFIC_VALUE_STEAM" hidden="1">"c9768"</definedName>
    <definedName name="IQ_PROBABLE_RESERVES_GRADE_ALUM" hidden="1">"c9210"</definedName>
    <definedName name="IQ_PROBABLE_RESERVES_GRADE_COP" hidden="1">"c9154"</definedName>
    <definedName name="IQ_PROBABLE_RESERVES_GRADE_DIAM" hidden="1">"c9634"</definedName>
    <definedName name="IQ_PROBABLE_RESERVES_GRADE_GOLD" hidden="1">"c8995"</definedName>
    <definedName name="IQ_PROBABLE_RESERVES_GRADE_IRON" hidden="1">"c9369"</definedName>
    <definedName name="IQ_PROBABLE_RESERVES_GRADE_LEAD" hidden="1">"c9422"</definedName>
    <definedName name="IQ_PROBABLE_RESERVES_GRADE_MANG" hidden="1">"c9475"</definedName>
    <definedName name="IQ_PROBABLE_RESERVES_GRADE_MOLYB" hidden="1">"c9687"</definedName>
    <definedName name="IQ_PROBABLE_RESERVES_GRADE_NICK" hidden="1">"c9263"</definedName>
    <definedName name="IQ_PROBABLE_RESERVES_GRADE_PLAT" hidden="1">"c9101"</definedName>
    <definedName name="IQ_PROBABLE_RESERVES_GRADE_SILVER" hidden="1">"c9048"</definedName>
    <definedName name="IQ_PROBABLE_RESERVES_GRADE_TITAN" hidden="1">"c9528"</definedName>
    <definedName name="IQ_PROBABLE_RESERVES_GRADE_URAN" hidden="1">"c9581"</definedName>
    <definedName name="IQ_PROBABLE_RESERVES_GRADE_ZINC" hidden="1">"c9316"</definedName>
    <definedName name="IQ_PRODUCTION_COST_ALUM" hidden="1">"c9253"</definedName>
    <definedName name="IQ_PRODUCTION_COST_COAL" hidden="1">"c9826"</definedName>
    <definedName name="IQ_PRODUCTION_COST_COP" hidden="1">"c9200"</definedName>
    <definedName name="IQ_PRODUCTION_COST_DIAM" hidden="1">"c9677"</definedName>
    <definedName name="IQ_PRODUCTION_COST_GOLD" hidden="1">"c9038"</definedName>
    <definedName name="IQ_PRODUCTION_COST_IRON" hidden="1">"c9412"</definedName>
    <definedName name="IQ_PRODUCTION_COST_LEAD" hidden="1">"c9465"</definedName>
    <definedName name="IQ_PRODUCTION_COST_MANG" hidden="1">"c9518"</definedName>
    <definedName name="IQ_PRODUCTION_COST_MET_COAL" hidden="1">"c9763"</definedName>
    <definedName name="IQ_PRODUCTION_COST_MOLYB" hidden="1">"c9730"</definedName>
    <definedName name="IQ_PRODUCTION_COST_NICK" hidden="1">"c9306"</definedName>
    <definedName name="IQ_PRODUCTION_COST_PLAT" hidden="1">"c9144"</definedName>
    <definedName name="IQ_PRODUCTION_COST_SILVER" hidden="1">"c9091"</definedName>
    <definedName name="IQ_PRODUCTION_COST_STEAM" hidden="1">"c9793"</definedName>
    <definedName name="IQ_PRODUCTION_COST_TITAN" hidden="1">"c9571"</definedName>
    <definedName name="IQ_PRODUCTION_COST_URAN" hidden="1">"c9624"</definedName>
    <definedName name="IQ_PRODUCTION_COST_ZINC" hidden="1">"c9359"</definedName>
    <definedName name="IQ_PROFESSIONAL" hidden="1">"c1071"</definedName>
    <definedName name="IQ_PROFESSIONAL_ID" hidden="1">"c13755"</definedName>
    <definedName name="IQ_PROFESSIONAL_TITLE" hidden="1">"c1072"</definedName>
    <definedName name="IQ_PROFIT_AFTER_COST_CAPITAL_NEW_BUSINESS" hidden="1">"c9969"</definedName>
    <definedName name="IQ_PROFIT_BEFORE_COST_CAPITAL_NEW_BUSINESS" hidden="1">"c9967"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ED_ATTRIB_ORE_RESERVES_ALUM" hidden="1">"c9216"</definedName>
    <definedName name="IQ_PROVED_ATTRIB_ORE_RESERVES_COP" hidden="1">"c9160"</definedName>
    <definedName name="IQ_PROVED_ATTRIB_ORE_RESERVES_DIAM" hidden="1">"c9640"</definedName>
    <definedName name="IQ_PROVED_ATTRIB_ORE_RESERVES_GOLD" hidden="1">"c9001"</definedName>
    <definedName name="IQ_PROVED_ATTRIB_ORE_RESERVES_IRON" hidden="1">"c9375"</definedName>
    <definedName name="IQ_PROVED_ATTRIB_ORE_RESERVES_LEAD" hidden="1">"c9428"</definedName>
    <definedName name="IQ_PROVED_ATTRIB_ORE_RESERVES_MANG" hidden="1">"c9481"</definedName>
    <definedName name="IQ_PROVED_ATTRIB_ORE_RESERVES_MOLYB" hidden="1">"c9693"</definedName>
    <definedName name="IQ_PROVED_ATTRIB_ORE_RESERVES_NICK" hidden="1">"c9269"</definedName>
    <definedName name="IQ_PROVED_ATTRIB_ORE_RESERVES_PLAT" hidden="1">"c9107"</definedName>
    <definedName name="IQ_PROVED_ATTRIB_ORE_RESERVES_SILVER" hidden="1">"c9054"</definedName>
    <definedName name="IQ_PROVED_ATTRIB_ORE_RESERVES_TITAN" hidden="1">"c9534"</definedName>
    <definedName name="IQ_PROVED_ATTRIB_ORE_RESERVES_URAN" hidden="1">"c9587"</definedName>
    <definedName name="IQ_PROVED_ATTRIB_ORE_RESERVES_ZINC" hidden="1">"c9322"</definedName>
    <definedName name="IQ_PROVED_ORE_RESERVES_ALUM" hidden="1">"c9207"</definedName>
    <definedName name="IQ_PROVED_ORE_RESERVES_COP" hidden="1">"c9151"</definedName>
    <definedName name="IQ_PROVED_ORE_RESERVES_DIAM" hidden="1">"c9631"</definedName>
    <definedName name="IQ_PROVED_ORE_RESERVES_GOLD" hidden="1">"c8992"</definedName>
    <definedName name="IQ_PROVED_ORE_RESERVES_IRON" hidden="1">"c9366"</definedName>
    <definedName name="IQ_PROVED_ORE_RESERVES_LEAD" hidden="1">"c9419"</definedName>
    <definedName name="IQ_PROVED_ORE_RESERVES_MANG" hidden="1">"c9472"</definedName>
    <definedName name="IQ_PROVED_ORE_RESERVES_MOLYB" hidden="1">"c9684"</definedName>
    <definedName name="IQ_PROVED_ORE_RESERVES_NICK" hidden="1">"c9260"</definedName>
    <definedName name="IQ_PROVED_ORE_RESERVES_PLAT" hidden="1">"c9098"</definedName>
    <definedName name="IQ_PROVED_ORE_RESERVES_SILVER" hidden="1">"c9045"</definedName>
    <definedName name="IQ_PROVED_ORE_RESERVES_TITAN" hidden="1">"c9525"</definedName>
    <definedName name="IQ_PROVED_ORE_RESERVES_URAN" hidden="1">"c9578"</definedName>
    <definedName name="IQ_PROVED_ORE_RESERVES_ZINC" hidden="1">"c9313"</definedName>
    <definedName name="IQ_PROVED_RECOV_ATTRIB_RESERVES_ALUM" hidden="1">"c9219"</definedName>
    <definedName name="IQ_PROVED_RECOV_ATTRIB_RESERVES_COAL" hidden="1">"c9803"</definedName>
    <definedName name="IQ_PROVED_RECOV_ATTRIB_RESERVES_COP" hidden="1">"c9163"</definedName>
    <definedName name="IQ_PROVED_RECOV_ATTRIB_RESERVES_DIAM" hidden="1">"c9643"</definedName>
    <definedName name="IQ_PROVED_RECOV_ATTRIB_RESERVES_GOLD" hidden="1">"c9004"</definedName>
    <definedName name="IQ_PROVED_RECOV_ATTRIB_RESERVES_IRON" hidden="1">"c9378"</definedName>
    <definedName name="IQ_PROVED_RECOV_ATTRIB_RESERVES_LEAD" hidden="1">"c9431"</definedName>
    <definedName name="IQ_PROVED_RECOV_ATTRIB_RESERVES_MANG" hidden="1">"c9484"</definedName>
    <definedName name="IQ_PROVED_RECOV_ATTRIB_RESERVES_MET_COAL" hidden="1">"c9743"</definedName>
    <definedName name="IQ_PROVED_RECOV_ATTRIB_RESERVES_MOLYB" hidden="1">"c9696"</definedName>
    <definedName name="IQ_PROVED_RECOV_ATTRIB_RESERVES_NICK" hidden="1">"c9272"</definedName>
    <definedName name="IQ_PROVED_RECOV_ATTRIB_RESERVES_PLAT" hidden="1">"c9110"</definedName>
    <definedName name="IQ_PROVED_RECOV_ATTRIB_RESERVES_SILVER" hidden="1">"c9057"</definedName>
    <definedName name="IQ_PROVED_RECOV_ATTRIB_RESERVES_STEAM" hidden="1">"c9773"</definedName>
    <definedName name="IQ_PROVED_RECOV_ATTRIB_RESERVES_TITAN" hidden="1">"c9537"</definedName>
    <definedName name="IQ_PROVED_RECOV_ATTRIB_RESERVES_URAN" hidden="1">"c9590"</definedName>
    <definedName name="IQ_PROVED_RECOV_ATTRIB_RESERVES_ZINC" hidden="1">"c9325"</definedName>
    <definedName name="IQ_PROVED_RECOV_RESERVES_ALUM" hidden="1">"c9213"</definedName>
    <definedName name="IQ_PROVED_RECOV_RESERVES_COAL" hidden="1">"c9800"</definedName>
    <definedName name="IQ_PROVED_RECOV_RESERVES_COP" hidden="1">"c9157"</definedName>
    <definedName name="IQ_PROVED_RECOV_RESERVES_DIAM" hidden="1">"c9637"</definedName>
    <definedName name="IQ_PROVED_RECOV_RESERVES_GOLD" hidden="1">"c8998"</definedName>
    <definedName name="IQ_PROVED_RECOV_RESERVES_IRON" hidden="1">"c9372"</definedName>
    <definedName name="IQ_PROVED_RECOV_RESERVES_LEAD" hidden="1">"c9425"</definedName>
    <definedName name="IQ_PROVED_RECOV_RESERVES_MANG" hidden="1">"c9478"</definedName>
    <definedName name="IQ_PROVED_RECOV_RESERVES_MET_COAL" hidden="1">"c9740"</definedName>
    <definedName name="IQ_PROVED_RECOV_RESERVES_MOLYB" hidden="1">"c9690"</definedName>
    <definedName name="IQ_PROVED_RECOV_RESERVES_NICK" hidden="1">"c9266"</definedName>
    <definedName name="IQ_PROVED_RECOV_RESERVES_PLAT" hidden="1">"c9104"</definedName>
    <definedName name="IQ_PROVED_RECOV_RESERVES_SILVER" hidden="1">"c9051"</definedName>
    <definedName name="IQ_PROVED_RECOV_RESERVES_STEAM" hidden="1">"c9770"</definedName>
    <definedName name="IQ_PROVED_RECOV_RESERVES_TITAN" hidden="1">"c9531"</definedName>
    <definedName name="IQ_PROVED_RECOV_RESERVES_URAN" hidden="1">"c9584"</definedName>
    <definedName name="IQ_PROVED_RECOV_RESERVES_ZINC" hidden="1">"c9319"</definedName>
    <definedName name="IQ_PROVED_RESERVES_CALORIFIC_VALUE_COAL" hidden="1">"c9797"</definedName>
    <definedName name="IQ_PROVED_RESERVES_CALORIFIC_VALUE_MET_COAL" hidden="1">"c9737"</definedName>
    <definedName name="IQ_PROVED_RESERVES_CALORIFIC_VALUE_STEAM" hidden="1">"c9767"</definedName>
    <definedName name="IQ_PROVED_RESERVES_GRADE_ALUM" hidden="1">"c9208"</definedName>
    <definedName name="IQ_PROVED_RESERVES_GRADE_COP" hidden="1">"c9152"</definedName>
    <definedName name="IQ_PROVED_RESERVES_GRADE_DIAM" hidden="1">"c9632"</definedName>
    <definedName name="IQ_PROVED_RESERVES_GRADE_GOLD" hidden="1">"c8993"</definedName>
    <definedName name="IQ_PROVED_RESERVES_GRADE_IRON" hidden="1">"c9367"</definedName>
    <definedName name="IQ_PROVED_RESERVES_GRADE_LEAD" hidden="1">"c9420"</definedName>
    <definedName name="IQ_PROVED_RESERVES_GRADE_MANG" hidden="1">"c9473"</definedName>
    <definedName name="IQ_PROVED_RESERVES_GRADE_MOLYB" hidden="1">"c9685"</definedName>
    <definedName name="IQ_PROVED_RESERVES_GRADE_NICK" hidden="1">"c9261"</definedName>
    <definedName name="IQ_PROVED_RESERVES_GRADE_PLAT" hidden="1">"c9099"</definedName>
    <definedName name="IQ_PROVED_RESERVES_GRADE_SILVER" hidden="1">"c9046"</definedName>
    <definedName name="IQ_PROVED_RESERVES_GRADE_TITAN" hidden="1">"c9526"</definedName>
    <definedName name="IQ_PROVED_RESERVES_GRADE_URAN" hidden="1">"c9579"</definedName>
    <definedName name="IQ_PROVED_RESERVES_GRADE_ZINC" hidden="1">"c9314"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ROVISION_LL_FFIEC" hidden="1">"c13019"</definedName>
    <definedName name="IQ_PROVISION_LOSSES_AVG_ASSETS_FFIEC" hidden="1">"c13362"</definedName>
    <definedName name="IQ_PROVISION_LOSSES_AVG_LOANS_FFIEC" hidden="1">"c13470"</definedName>
    <definedName name="IQ_PROVISION_LOSSES_NET_LOSSES_FFIEC" hidden="1">"c13471"</definedName>
    <definedName name="IQ_PTBV" hidden="1">"c1084"</definedName>
    <definedName name="IQ_PTBV_AVG" hidden="1">"c1085"</definedName>
    <definedName name="IQ_PURCHASE_FOREIGN_CURRENCIES_FDIC" hidden="1">"c6513"</definedName>
    <definedName name="IQ_PURCHASE_TREASURY_FFIEC" hidden="1">"c12966"</definedName>
    <definedName name="IQ_PURCHASED_CREDIT_RELS_SERVICING_ASSETS_FFIEC" hidden="1">"c12839"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" hidden="1">"c8491"</definedName>
    <definedName name="IQ_PURCHASES_EQUIP_NONRES_SAAR_APR_UNUSED" hidden="1">"c7611"</definedName>
    <definedName name="IQ_PURCHASES_EQUIP_NONRES_SAAR_FC_UNUSED" hidden="1">"c7831"</definedName>
    <definedName name="IQ_PURCHASES_EQUIP_NONRES_SAAR_POP_FC_UNUSED" hidden="1">"c8051"</definedName>
    <definedName name="IQ_PURCHASES_EQUIP_NONRES_SAAR_POP_UNUSED" hidden="1">"c7171"</definedName>
    <definedName name="IQ_PURCHASES_EQUIP_NONRES_SAAR_UNUSED" hidden="1">"c6951"</definedName>
    <definedName name="IQ_PURCHASES_EQUIP_NONRES_SAAR_YOY_FC_UNUSED" hidden="1">"c8271"</definedName>
    <definedName name="IQ_PURCHASES_EQUIP_NONRES_SAAR_YOY_UNUSED" hidden="1">"c7391"</definedName>
    <definedName name="IQ_PURCHASING_SECURITIES_LL_REC_FFIEC" hidden="1">"c12893"</definedName>
    <definedName name="IQ_PUT_DATE_SCHEDULE" hidden="1">"c2483"</definedName>
    <definedName name="IQ_PUT_NOTIFICATION" hidden="1">"c2485"</definedName>
    <definedName name="IQ_PUT_PRICE_SCHEDULE" hidden="1">"c2484"</definedName>
    <definedName name="IQ_PV_PREMIUMS_NEW_BUSINESS" hidden="1">"c9973"</definedName>
    <definedName name="IQ_QTD" hidden="1">750000</definedName>
    <definedName name="IQ_QUALIFYING_MINORITY_INT_T1_FFIEC" hidden="1">"c13135"</definedName>
    <definedName name="IQ_QUALIFYING_SUB_DEBT_REDEEM_PREF_T2_FFIEC" hidden="1">"c13144"</definedName>
    <definedName name="IQ_QUALIFYING_TRUST_PREFERRED_T1_FFIEC" hidden="1">"c13136"</definedName>
    <definedName name="IQ_QUICK_COMP" hidden="1">"c13750"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1_4_RISK_BASED_FFIEC" hidden="1">"c13418"</definedName>
    <definedName name="IQ_RE_ACQ_SATISFACTION_DEBTS_FFIEC" hidden="1">"c12832"</definedName>
    <definedName name="IQ_RE_DEPR_AMORT" hidden="1">"c8750"</definedName>
    <definedName name="IQ_RE_FARMLAND_GROSS_LOANS_FFIEC" hidden="1">"c13408"</definedName>
    <definedName name="IQ_RE_FARMLAND_RISK_BASED_FFIEC" hidden="1">"c13429"</definedName>
    <definedName name="IQ_RE_FCCR" hidden="1">"c8858"</definedName>
    <definedName name="IQ_RE_FCCR_CONT_OPS" hidden="1">"c8859"</definedName>
    <definedName name="IQ_RE_FCCR_INCL_DISC_OPS" hidden="1">"c8860"</definedName>
    <definedName name="IQ_RE_FCCR_INCL_PREF_DIV" hidden="1">"c8861"</definedName>
    <definedName name="IQ_RE_FCCR_INCL_PREF_DIV_CONT_OPS" hidden="1">"c8862"</definedName>
    <definedName name="IQ_RE_FCCR_INCL_PREF_DIV_INCL_DISC_OPS" hidden="1">"c8863"</definedName>
    <definedName name="IQ_RE_FIXED_CHARGES" hidden="1">"c8856"</definedName>
    <definedName name="IQ_RE_FIXED_CHARGES_INCL_PREF_DIV" hidden="1">"c8857"</definedName>
    <definedName name="IQ_RE_FORECLOSURE_FDIC" hidden="1">"c6332"</definedName>
    <definedName name="IQ_RE_FOREIGN_FFIEC" hidden="1">"c13479"</definedName>
    <definedName name="IQ_RE_GAIN_LOSS_SALE_ASSETS" hidden="1">"c8751"</definedName>
    <definedName name="IQ_RE_INVEST_FDIC" hidden="1">"c6331"</definedName>
    <definedName name="IQ_RE_LOANS_1_4_GROSS_LOANS_FFIEC" hidden="1">"c13397"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_LOANS_GROSS_LOANS_FFIEC" hidden="1">"c13396"</definedName>
    <definedName name="IQ_RE_MAINT_CAPEX" hidden="1">"c8755"</definedName>
    <definedName name="IQ_RE_MINORITY_INTEREST" hidden="1">"c8752"</definedName>
    <definedName name="IQ_RE_NET_INCOME" hidden="1">"c8749"</definedName>
    <definedName name="IQ_RE_NOI" hidden="1">"c8864"</definedName>
    <definedName name="IQ_RE_NOI_GROWTH_SAME_PROP" hidden="1">"c8866"</definedName>
    <definedName name="IQ_RE_NOI_SAME_PROP" hidden="1">"c8865"</definedName>
    <definedName name="IQ_RE_OTHER_ITEMS" hidden="1">"c8753"</definedName>
    <definedName name="IQ_RE_RISK_BASED_FFIEC" hidden="1">"c13417"</definedName>
    <definedName name="IQ_REAL_ESTATE" hidden="1">"c1093"</definedName>
    <definedName name="IQ_REAL_ESTATE_ASSETS" hidden="1">"c1094"</definedName>
    <definedName name="IQ_REALIZED_GAINS_AVAIL_SALE_SEC_FFIEC" hidden="1">"c13022"</definedName>
    <definedName name="IQ_REALIZED_GAINS_HELD_MATURITY_SEC_FFIEC" hidden="1">"c13021"</definedName>
    <definedName name="IQ_REALIZED_GAINS_SEC_TOT_FFIEC" hidden="1">"c13517"</definedName>
    <definedName name="IQ_RECOVERIES_1_4_FAMILY_LOANS_FDIC" hidden="1">"c6707"</definedName>
    <definedName name="IQ_RECOVERIES_AUTO_LOANS_FDIC" hidden="1">"c6701"</definedName>
    <definedName name="IQ_RECOVERIES_AVG_LOANS_FFIEC" hidden="1">"c13476"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" hidden="1">"c4507"</definedName>
    <definedName name="IQ_RECURRING_PROFIT_ACT_OR_EST_CIQ" hidden="1">"c5045"</definedName>
    <definedName name="IQ_RECURRING_PROFIT_EST" hidden="1">"c4499"</definedName>
    <definedName name="IQ_RECURRING_PROFIT_HIGH_EST" hidden="1">"c4501"</definedName>
    <definedName name="IQ_RECURRING_PROFIT_LOW_EST" hidden="1">"c4502"</definedName>
    <definedName name="IQ_RECURRING_PROFIT_MEDIAN_EST" hidden="1">"c4503"</definedName>
    <definedName name="IQ_RECURRING_PROFIT_NUM_EST" hidden="1">"c4504"</definedName>
    <definedName name="IQ_RECURRING_PROFIT_SHARE_ACT_OR_EST" hidden="1">"c4508"</definedName>
    <definedName name="IQ_RECURRING_PROFIT_SHARE_ACT_OR_EST_CIQ" hidden="1">"c5046"</definedName>
    <definedName name="IQ_RECURRING_PROFIT_SHARE_EST" hidden="1">"c4506"</definedName>
    <definedName name="IQ_RECURRING_PROFIT_SHARE_HIGH_EST" hidden="1">"c4510"</definedName>
    <definedName name="IQ_RECURRING_PROFIT_SHARE_LOW_EST" hidden="1">"c4511"</definedName>
    <definedName name="IQ_RECURRING_PROFIT_SHARE_MEDIAN_EST" hidden="1">"c4512"</definedName>
    <definedName name="IQ_RECURRING_PROFIT_SHARE_NUM_EST" hidden="1">"c4513"</definedName>
    <definedName name="IQ_RECURRING_PROFIT_SHARE_STDDEV_EST" hidden="1">"c4514"</definedName>
    <definedName name="IQ_RECURRING_PROFIT_STDDEV_EST" hidden="1">"c4516"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INSURANCE_RECOVERABLE_ASSETS_LH_FFIEC" hidden="1">"c13104"</definedName>
    <definedName name="IQ_REINSURANCE_RECOVERABLE_ASSETS_PC_FFIEC" hidden="1">"c13098"</definedName>
    <definedName name="IQ_RELATED_PLANS_FDIC" hidden="1">"c6320"</definedName>
    <definedName name="IQ_RENT_OTHER_INC_FROM_OREO_FFIEC" hidden="1">"c13043"</definedName>
    <definedName name="IQ_RENT_PER_SQ_FT_AVG_CONSOL" hidden="1">"c8846"</definedName>
    <definedName name="IQ_RENT_PER_SQ_FT_AVG_MANAGED" hidden="1">"c8848"</definedName>
    <definedName name="IQ_RENT_PER_SQ_FT_AVG_OTHER" hidden="1">"c8849"</definedName>
    <definedName name="IQ_RENT_PER_SQ_FT_AVG_TOTAL" hidden="1">"c8850"</definedName>
    <definedName name="IQ_RENT_PER_SQ_FT_AVG_UNCONSOL" hidden="1">"c8847"</definedName>
    <definedName name="IQ_RENT_PER_SQ_METER_AVG_CONSOL" hidden="1">"c8851"</definedName>
    <definedName name="IQ_RENT_PER_SQ_METER_AVG_MANAGED" hidden="1">"c8853"</definedName>
    <definedName name="IQ_RENT_PER_SQ_METER_AVG_OTHER" hidden="1">"c8854"</definedName>
    <definedName name="IQ_RENT_PER_SQ_METER_AVG_TOTAL" hidden="1">"c8855"</definedName>
    <definedName name="IQ_RENT_PER_SQ_METER_AVG_UNCONSOL" hidden="1">"c8852"</definedName>
    <definedName name="IQ_RENT_SAFE_DEPOSIT_FFIEC" hidden="1">"c13044"</definedName>
    <definedName name="IQ_RENTAL_REV" hidden="1">"c1101"</definedName>
    <definedName name="IQ_REPRICEABLE_EARNING_ASSETS_INT_SENSITIVITY_FFIEC" hidden="1">"c13093"</definedName>
    <definedName name="IQ_REPRICEABLE_INT_DEPOSITS_INT_SENSITIVITY_FFIEC" hidden="1">"c13094"</definedName>
    <definedName name="IQ_REPURCHASED_REBOOKED_GNMA_DUE_30_89_FFIEC" hidden="1">"c13283"</definedName>
    <definedName name="IQ_REPURCHASED_REBOOKED_GNMA_DUE_90_FFIEC" hidden="1">"c13309"</definedName>
    <definedName name="IQ_REPURCHASED_REBOOKED_GNMA_NON_ACCRUAL_FFIEC" hidden="1">"c13334"</definedName>
    <definedName name="IQ_RES_CONST_REAL_APR_FC_UNUSED" hidden="1">"c8536"</definedName>
    <definedName name="IQ_RES_CONST_REAL_APR_UNUSED" hidden="1">"c7656"</definedName>
    <definedName name="IQ_RES_CONST_REAL_FC_UNUSED" hidden="1">"c7876"</definedName>
    <definedName name="IQ_RES_CONST_REAL_POP_FC_UNUSED" hidden="1">"c8096"</definedName>
    <definedName name="IQ_RES_CONST_REAL_POP_UNUSED" hidden="1">"c7216"</definedName>
    <definedName name="IQ_RES_CONST_REAL_SAAR_APR_FC_UNUSED" hidden="1">"c8537"</definedName>
    <definedName name="IQ_RES_CONST_REAL_SAAR_APR_UNUSED" hidden="1">"c7657"</definedName>
    <definedName name="IQ_RES_CONST_REAL_SAAR_FC_UNUSED" hidden="1">"c7877"</definedName>
    <definedName name="IQ_RES_CONST_REAL_SAAR_POP_FC_UNUSED" hidden="1">"c8097"</definedName>
    <definedName name="IQ_RES_CONST_REAL_SAAR_POP_UNUSED" hidden="1">"c7217"</definedName>
    <definedName name="IQ_RES_CONST_REAL_SAAR_UNUSED" hidden="1">"c6997"</definedName>
    <definedName name="IQ_RES_CONST_REAL_SAAR_YOY_FC_UNUSED" hidden="1">"c8317"</definedName>
    <definedName name="IQ_RES_CONST_REAL_SAAR_YOY_UNUSED" hidden="1">"c7437"</definedName>
    <definedName name="IQ_RES_CONST_REAL_UNUSED" hidden="1">"c6996"</definedName>
    <definedName name="IQ_RES_CONST_REAL_YOY_FC_UNUSED" hidden="1">"c8316"</definedName>
    <definedName name="IQ_RES_CONST_REAL_YOY_UNUSED" hidden="1">"c7436"</definedName>
    <definedName name="IQ_RES_CONST_SAAR_APR_FC_UNUSED" hidden="1">"c8540"</definedName>
    <definedName name="IQ_RES_CONST_SAAR_APR_UNUSED" hidden="1">"c7660"</definedName>
    <definedName name="IQ_RES_CONST_SAAR_FC_UNUSED" hidden="1">"c7880"</definedName>
    <definedName name="IQ_RES_CONST_SAAR_POP_FC_UNUSED" hidden="1">"c8100"</definedName>
    <definedName name="IQ_RES_CONST_SAAR_POP_UNUSED" hidden="1">"c7220"</definedName>
    <definedName name="IQ_RES_CONST_SAAR_UNUSED" hidden="1">"c7000"</definedName>
    <definedName name="IQ_RES_CONST_SAAR_YOY_FC_UNUSED" hidden="1">"c8320"</definedName>
    <definedName name="IQ_RES_CONST_SAAR_YOY_UNUSED" hidden="1">"c7440"</definedName>
    <definedName name="IQ_RES_FIXED_INVEST" hidden="1">"c7001"</definedName>
    <definedName name="IQ_RES_FIXED_INVEST_APR" hidden="1">"c7661"</definedName>
    <definedName name="IQ_RES_FIXED_INVEST_APR_FC" hidden="1">"c8541"</definedName>
    <definedName name="IQ_RES_FIXED_INVEST_FC" hidden="1">"c7881"</definedName>
    <definedName name="IQ_RES_FIXED_INVEST_POP" hidden="1">"c7221"</definedName>
    <definedName name="IQ_RES_FIXED_INVEST_POP_FC" hidden="1">"c8101"</definedName>
    <definedName name="IQ_RES_FIXED_INVEST_REAL" hidden="1">"c6998"</definedName>
    <definedName name="IQ_RES_FIXED_INVEST_REAL_APR" hidden="1">"c7658"</definedName>
    <definedName name="IQ_RES_FIXED_INVEST_REAL_APR_FC" hidden="1">"c8538"</definedName>
    <definedName name="IQ_RES_FIXED_INVEST_REAL_FC" hidden="1">"c7878"</definedName>
    <definedName name="IQ_RES_FIXED_INVEST_REAL_POP" hidden="1">"c7218"</definedName>
    <definedName name="IQ_RES_FIXED_INVEST_REAL_POP_FC" hidden="1">"c8098"</definedName>
    <definedName name="IQ_RES_FIXED_INVEST_REAL_YOY" hidden="1">"c7438"</definedName>
    <definedName name="IQ_RES_FIXED_INVEST_REAL_YOY_FC" hidden="1">"c8318"</definedName>
    <definedName name="IQ_RES_FIXED_INVEST_SAAR" hidden="1">"c11994"</definedName>
    <definedName name="IQ_RES_FIXED_INVEST_SAAR_APR" hidden="1">"c11997"</definedName>
    <definedName name="IQ_RES_FIXED_INVEST_SAAR_POP" hidden="1">"c11995"</definedName>
    <definedName name="IQ_RES_FIXED_INVEST_SAAR_REAL" hidden="1">"c11990"</definedName>
    <definedName name="IQ_RES_FIXED_INVEST_SAAR_REAL_APR" hidden="1">"c11993"</definedName>
    <definedName name="IQ_RES_FIXED_INVEST_SAAR_REAL_POP" hidden="1">"c11991"</definedName>
    <definedName name="IQ_RES_FIXED_INVEST_SAAR_REAL_YOY" hidden="1">"c11992"</definedName>
    <definedName name="IQ_RES_FIXED_INVEST_SAAR_YOY" hidden="1">"c11996"</definedName>
    <definedName name="IQ_RES_FIXED_INVEST_YOY" hidden="1">"c7441"</definedName>
    <definedName name="IQ_RES_FIXED_INVEST_YOY_FC" hidden="1">"c8321"</definedName>
    <definedName name="IQ_RESEARCH_DEV" hidden="1">"c1419"</definedName>
    <definedName name="IQ_RESIDENTIAL_LOANS" hidden="1">"c1102"</definedName>
    <definedName name="IQ_REST_ACQUIRED_AFFILIATED_OTHER_RESTAURANTS" hidden="1">"c9873"</definedName>
    <definedName name="IQ_REST_ACQUIRED_FRANCHISE_RESTAURANTS" hidden="1">"c9867"</definedName>
    <definedName name="IQ_REST_ACQUIRED_OWNED_RESTAURANTS" hidden="1">"c9861"</definedName>
    <definedName name="IQ_REST_ACQUIRED_RESTAURANTS" hidden="1">"c9855"</definedName>
    <definedName name="IQ_REST_AFFILIATED_OTHER_RESTAURANTS_BEG" hidden="1">"c9871"</definedName>
    <definedName name="IQ_REST_AVG_VALUE_TRANSACTION" hidden="1">"c9887"</definedName>
    <definedName name="IQ_REST_AVG_VALUE_TRANSACTION_GROWTH" hidden="1">"c9888"</definedName>
    <definedName name="IQ_REST_AVG_WEEKLY_SALES" hidden="1">"c9879"</definedName>
    <definedName name="IQ_REST_AVG_WEEKLY_SALES_FRANCHISE" hidden="1">"c9877"</definedName>
    <definedName name="IQ_REST_AVG_WEEKLY_SALES_OWNED" hidden="1">"c9878"</definedName>
    <definedName name="IQ_REST_CLOSED_AFFILIATED_OTHER_RESTAURANTS" hidden="1">"c9874"</definedName>
    <definedName name="IQ_REST_CLOSED_FRANCHISE_RESTAURANTS" hidden="1">"c9868"</definedName>
    <definedName name="IQ_REST_CLOSED_OWNED_RESTAURANTS" hidden="1">"c9862"</definedName>
    <definedName name="IQ_REST_CLOSED_RESTAURANTS" hidden="1">"c9856"</definedName>
    <definedName name="IQ_REST_FRANCHISE_RESTAURANTS_BEG" hidden="1">"c9865"</definedName>
    <definedName name="IQ_REST_GUEST_COUNT_GROWTH" hidden="1">"c9889"</definedName>
    <definedName name="IQ_REST_OPENED_AFFILIATED_OTHER_RESTAURANTS" hidden="1">"c9872"</definedName>
    <definedName name="IQ_REST_OPENED_FRANCHISE_RESTAURANTS" hidden="1">"c9866"</definedName>
    <definedName name="IQ_REST_OPENED_OWNED_RESTAURANTS" hidden="1">"c9860"</definedName>
    <definedName name="IQ_REST_OPENED_RESTAURANTS" hidden="1">"c9854"</definedName>
    <definedName name="IQ_REST_OPERATING_MARGIN" hidden="1">"c9886"</definedName>
    <definedName name="IQ_REST_OWNED_RESTAURANTS_BEG" hidden="1">"c9859"</definedName>
    <definedName name="IQ_REST_RESTAURANTS_BEG" hidden="1">"c9853"</definedName>
    <definedName name="IQ_REST_SAME_RESTAURANT_SALES" hidden="1">"c9885"</definedName>
    <definedName name="IQ_REST_SAME_RESTAURANT_SALES_FRANCHISE" hidden="1">"c9883"</definedName>
    <definedName name="IQ_REST_SAME_RESTAURANT_SALES_GROWTH" hidden="1">"c9882"</definedName>
    <definedName name="IQ_REST_SAME_RESTAURANT_SALES_GROWTH_FRANCHISE" hidden="1">"c9880"</definedName>
    <definedName name="IQ_REST_SAME_RESTAURANT_SALES_GROWTH_OWNED" hidden="1">"c9881"</definedName>
    <definedName name="IQ_REST_SAME_RESTAURANT_SALES_OWNED" hidden="1">"c9884"</definedName>
    <definedName name="IQ_REST_SOLD_AFFILIATED_OTHER_RESTAURANTS" hidden="1">"c9875"</definedName>
    <definedName name="IQ_REST_SOLD_FRANCHISE_RESTAURANTS" hidden="1">"c9869"</definedName>
    <definedName name="IQ_REST_SOLD_OWNED_RESTAURANTS" hidden="1">"c9863"</definedName>
    <definedName name="IQ_REST_SOLD_RESTAURANTS" hidden="1">"c9857"</definedName>
    <definedName name="IQ_REST_TOTAL_AFFILIATED_OTHER_RESTAURANTS" hidden="1">"c9876"</definedName>
    <definedName name="IQ_REST_TOTAL_FRANCHISE_RESTAURANTS" hidden="1">"c9870"</definedName>
    <definedName name="IQ_REST_TOTAL_OWNED_RESTAURANTS" hidden="1">"c9864"</definedName>
    <definedName name="IQ_REST_TOTAL_RESTAURANTS" hidden="1">"c9858"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FFIEC" hidden="1">"c12958"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SUPPLE" hidden="1">"c13809"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AFFILIATED_OTHER_STORES" hidden="1">"c9892"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FFILIATED_OTHER_STORES_BEG" hidden="1">"c9890"</definedName>
    <definedName name="IQ_RETAIL_AVG_SQ_METERS_GROSS" hidden="1">"c9908"</definedName>
    <definedName name="IQ_RETAIL_AVG_SQ_METERS_NET" hidden="1">"c9907"</definedName>
    <definedName name="IQ_RETAIL_AVG_STORE_SIZE_GROSS" hidden="1">"c2066"</definedName>
    <definedName name="IQ_RETAIL_AVG_STORE_SIZE_NET" hidden="1">"c2067"</definedName>
    <definedName name="IQ_RETAIL_AVG_VALUE_TRANSACTION" hidden="1">"c9915"</definedName>
    <definedName name="IQ_RETAIL_AVG_VALUE_TRANSACTION_GROWTH" hidden="1">"c9916"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AFFILIATED_OTHER_STORES" hidden="1">"c9893"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GROSS_MARGIN" hidden="1">"c9899"</definedName>
    <definedName name="IQ_RETAIL_IS_RATIO" hidden="1">"c7002"</definedName>
    <definedName name="IQ_RETAIL_IS_RATIO_FC" hidden="1">"c7882"</definedName>
    <definedName name="IQ_RETAIL_IS_RATIO_POP" hidden="1">"c7222"</definedName>
    <definedName name="IQ_RETAIL_IS_RATIO_POP_FC" hidden="1">"c8102"</definedName>
    <definedName name="IQ_RETAIL_IS_RATIO_YOY" hidden="1">"c7442"</definedName>
    <definedName name="IQ_RETAIL_IS_RATIO_YOY_FC" hidden="1">"c8322"</definedName>
    <definedName name="IQ_RETAIL_MERCHANDISE_MARGIN" hidden="1">"c9901"</definedName>
    <definedName name="IQ_RETAIL_OPENED_AFFILIATED_OTHER_STORES" hidden="1">"c9891"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PERATING_MARGIN" hidden="1">"c9900"</definedName>
    <definedName name="IQ_RETAIL_OWNED_STORES_BEG" hidden="1">"c2901"</definedName>
    <definedName name="IQ_RETAIL_SALES" hidden="1">"c7003"</definedName>
    <definedName name="IQ_RETAIL_SALES_APR" hidden="1">"c7663"</definedName>
    <definedName name="IQ_RETAIL_SALES_APR_FC" hidden="1">"c8543"</definedName>
    <definedName name="IQ_RETAIL_SALES_CATALOG" hidden="1">"c9903"</definedName>
    <definedName name="IQ_RETAIL_SALES_FC" hidden="1">"c7883"</definedName>
    <definedName name="IQ_RETAIL_SALES_FOOD" hidden="1">"c7004"</definedName>
    <definedName name="IQ_RETAIL_SALES_FOOD_APR" hidden="1">"c7664"</definedName>
    <definedName name="IQ_RETAIL_SALES_FOOD_APR_FC" hidden="1">"c8544"</definedName>
    <definedName name="IQ_RETAIL_SALES_FOOD_EXCL_VEHICLE" hidden="1">"c7005"</definedName>
    <definedName name="IQ_RETAIL_SALES_FOOD_EXCL_VEHICLE_APR" hidden="1">"c7665"</definedName>
    <definedName name="IQ_RETAIL_SALES_FOOD_EXCL_VEHICLE_APR_FC" hidden="1">"c8545"</definedName>
    <definedName name="IQ_RETAIL_SALES_FOOD_EXCL_VEHICLE_FC" hidden="1">"c7885"</definedName>
    <definedName name="IQ_RETAIL_SALES_FOOD_EXCL_VEHICLE_POP" hidden="1">"c7225"</definedName>
    <definedName name="IQ_RETAIL_SALES_FOOD_EXCL_VEHICLE_POP_FC" hidden="1">"c8105"</definedName>
    <definedName name="IQ_RETAIL_SALES_FOOD_EXCL_VEHICLE_YOY" hidden="1">"c7445"</definedName>
    <definedName name="IQ_RETAIL_SALES_FOOD_EXCL_VEHICLE_YOY_FC" hidden="1">"c8325"</definedName>
    <definedName name="IQ_RETAIL_SALES_FOOD_FC" hidden="1">"c7884"</definedName>
    <definedName name="IQ_RETAIL_SALES_FOOD_POP" hidden="1">"c7224"</definedName>
    <definedName name="IQ_RETAIL_SALES_FOOD_POP_FC" hidden="1">"c8104"</definedName>
    <definedName name="IQ_RETAIL_SALES_FOOD_YOY" hidden="1">"c7444"</definedName>
    <definedName name="IQ_RETAIL_SALES_FOOD_YOY_FC" hidden="1">"c8324"</definedName>
    <definedName name="IQ_RETAIL_SALES_ONLINE" hidden="1">"c9904"</definedName>
    <definedName name="IQ_RETAIL_SALES_POP" hidden="1">"c7223"</definedName>
    <definedName name="IQ_RETAIL_SALES_POP_FC" hidden="1">"c8103"</definedName>
    <definedName name="IQ_RETAIL_SALES_RETAIL" hidden="1">"c9902"</definedName>
    <definedName name="IQ_RETAIL_SALES_SAAR" hidden="1">"c7009"</definedName>
    <definedName name="IQ_RETAIL_SALES_SAAR_APR" hidden="1">"c7669"</definedName>
    <definedName name="IQ_RETAIL_SALES_SAAR_APR_FC" hidden="1">"c8549"</definedName>
    <definedName name="IQ_RETAIL_SALES_SAAR_FC" hidden="1">"c7889"</definedName>
    <definedName name="IQ_RETAIL_SALES_SAAR_POP" hidden="1">"c7229"</definedName>
    <definedName name="IQ_RETAIL_SALES_SAAR_POP_FC" hidden="1">"c8109"</definedName>
    <definedName name="IQ_RETAIL_SALES_SAAR_YOY" hidden="1">"c7449"</definedName>
    <definedName name="IQ_RETAIL_SALES_SAAR_YOY_FC" hidden="1">"c8329"</definedName>
    <definedName name="IQ_RETAIL_SALES_SQ_METER_COMPARABLE_GROSS" hidden="1">"c9914"</definedName>
    <definedName name="IQ_RETAIL_SALES_SQ_METER_COMPARABLE_NET" hidden="1">"c9913"</definedName>
    <definedName name="IQ_RETAIL_SALES_SQ_METER_GROSS" hidden="1">"c9910"</definedName>
    <definedName name="IQ_RETAIL_SALES_SQ_METER_NET" hidden="1">"c9909"</definedName>
    <definedName name="IQ_RETAIL_SALES_SQ_METER_OWNED_GROSS" hidden="1">"c9912"</definedName>
    <definedName name="IQ_RETAIL_SALES_SQ_METER_OWNED_NET" hidden="1">"c9911"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ALES_VALUE_INDEX" hidden="1">"c7006"</definedName>
    <definedName name="IQ_RETAIL_SALES_VALUE_INDEX_APR" hidden="1">"c7666"</definedName>
    <definedName name="IQ_RETAIL_SALES_VALUE_INDEX_APR_FC" hidden="1">"c8546"</definedName>
    <definedName name="IQ_RETAIL_SALES_VALUE_INDEX_FC" hidden="1">"c7886"</definedName>
    <definedName name="IQ_RETAIL_SALES_VALUE_INDEX_POP" hidden="1">"c7226"</definedName>
    <definedName name="IQ_RETAIL_SALES_VALUE_INDEX_POP_FC" hidden="1">"c8106"</definedName>
    <definedName name="IQ_RETAIL_SALES_VALUE_INDEX_YOY" hidden="1">"c7446"</definedName>
    <definedName name="IQ_RETAIL_SALES_VALUE_INDEX_YOY_FC" hidden="1">"c8326"</definedName>
    <definedName name="IQ_RETAIL_SALES_VOL_INDEX" hidden="1">"c7007"</definedName>
    <definedName name="IQ_RETAIL_SALES_VOL_INDEX_APR" hidden="1">"c7667"</definedName>
    <definedName name="IQ_RETAIL_SALES_VOL_INDEX_APR_FC" hidden="1">"c8547"</definedName>
    <definedName name="IQ_RETAIL_SALES_VOL_INDEX_EXCL_MOTOR" hidden="1">"c7008"</definedName>
    <definedName name="IQ_RETAIL_SALES_VOL_INDEX_EXCL_MOTOR_APR" hidden="1">"c7668"</definedName>
    <definedName name="IQ_RETAIL_SALES_VOL_INDEX_EXCL_MOTOR_APR_FC" hidden="1">"c8548"</definedName>
    <definedName name="IQ_RETAIL_SALES_VOL_INDEX_EXCL_MOTOR_FC" hidden="1">"c7888"</definedName>
    <definedName name="IQ_RETAIL_SALES_VOL_INDEX_EXCL_MOTOR_POP" hidden="1">"c7228"</definedName>
    <definedName name="IQ_RETAIL_SALES_VOL_INDEX_EXCL_MOTOR_POP_FC" hidden="1">"c8108"</definedName>
    <definedName name="IQ_RETAIL_SALES_VOL_INDEX_EXCL_MOTOR_YOY" hidden="1">"c7448"</definedName>
    <definedName name="IQ_RETAIL_SALES_VOL_INDEX_EXCL_MOTOR_YOY_FC" hidden="1">"c8328"</definedName>
    <definedName name="IQ_RETAIL_SALES_VOL_INDEX_FC" hidden="1">"c7887"</definedName>
    <definedName name="IQ_RETAIL_SALES_VOL_INDEX_POP" hidden="1">"c7227"</definedName>
    <definedName name="IQ_RETAIL_SALES_VOL_INDEX_POP_FC" hidden="1">"c8107"</definedName>
    <definedName name="IQ_RETAIL_SALES_VOL_INDEX_YOY" hidden="1">"c7447"</definedName>
    <definedName name="IQ_RETAIL_SALES_VOL_INDEX_YOY_FC" hidden="1">"c8327"</definedName>
    <definedName name="IQ_RETAIL_SALES_YOY" hidden="1">"c7443"</definedName>
    <definedName name="IQ_RETAIL_SALES_YOY_FC" hidden="1">"c8323"</definedName>
    <definedName name="IQ_RETAIL_SAME_STORE_SALES" hidden="1">"c9898"</definedName>
    <definedName name="IQ_RETAIL_SAME_STORE_SALES_FRANCHISE" hidden="1">"c9896"</definedName>
    <definedName name="IQ_RETAIL_SAME_STORE_SALES_OWNED" hidden="1">"c9897"</definedName>
    <definedName name="IQ_RETAIL_SOLD_AFFILIATED_OTHER_STORES" hidden="1">"c9894"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AFFILIATED_OTHER_STORES" hidden="1">"c9895"</definedName>
    <definedName name="IQ_RETAIL_TOTAL_FRANCHISE_STORES" hidden="1">"c2898"</definedName>
    <definedName name="IQ_RETAIL_TOTAL_OWNED_STORES" hidden="1">"c2906"</definedName>
    <definedName name="IQ_RETAIL_TOTAL_SQ_METERS_GROSS" hidden="1">"c9906"</definedName>
    <definedName name="IQ_RETAIL_TOTAL_SQ_METERS_NET" hidden="1">"c9905"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AINED_EARNINGS_EQUITY_FFIEC" hidden="1">"c13348"</definedName>
    <definedName name="IQ_RETAINED_EARNINGS_FFIEC" hidden="1">"c12878"</definedName>
    <definedName name="IQ_RETURN_ASSETS" hidden="1">"c1113"</definedName>
    <definedName name="IQ_RETURN_ASSETS_ACT_OR_EST" hidden="1">"c3585"</definedName>
    <definedName name="IQ_RETURN_ASSETS_ACT_OR_EST_THOM" hidden="1">"c5310"</definedName>
    <definedName name="IQ_RETURN_ASSETS_BANK" hidden="1">"c1114"</definedName>
    <definedName name="IQ_RETURN_ASSETS_BROK" hidden="1">"c1115"</definedName>
    <definedName name="IQ_RETURN_ASSETS_DET_EST" hidden="1">"c12066"</definedName>
    <definedName name="IQ_RETURN_ASSETS_DET_EST_DATE" hidden="1">"c12219"</definedName>
    <definedName name="IQ_RETURN_ASSETS_DET_EST_DATE_THOM" hidden="1">"c12247"</definedName>
    <definedName name="IQ_RETURN_ASSETS_DET_EST_INCL" hidden="1">"c12356"</definedName>
    <definedName name="IQ_RETURN_ASSETS_DET_EST_INCL_THOM" hidden="1">"c12379"</definedName>
    <definedName name="IQ_RETURN_ASSETS_DET_EST_ORIGIN" hidden="1">"c12591"</definedName>
    <definedName name="IQ_RETURN_ASSETS_DET_EST_ORIGIN_THOM" hidden="1">"c12617"</definedName>
    <definedName name="IQ_RETURN_ASSETS_DET_EST_THOM" hidden="1">"c12097"</definedName>
    <definedName name="IQ_RETURN_ASSETS_EST" hidden="1">"c3529"</definedName>
    <definedName name="IQ_RETURN_ASSETS_EST_THOM" hidden="1">"c4034"</definedName>
    <definedName name="IQ_RETURN_ASSETS_FDIC" hidden="1">"c6730"</definedName>
    <definedName name="IQ_RETURN_ASSETS_FS" hidden="1">"c1116"</definedName>
    <definedName name="IQ_RETURN_ASSETS_HIGH_EST" hidden="1">"c3530"</definedName>
    <definedName name="IQ_RETURN_ASSETS_HIGH_EST_THOM" hidden="1">"c4036"</definedName>
    <definedName name="IQ_RETURN_ASSETS_LOW_EST" hidden="1">"c3531"</definedName>
    <definedName name="IQ_RETURN_ASSETS_LOW_EST_THOM" hidden="1">"c4037"</definedName>
    <definedName name="IQ_RETURN_ASSETS_MEDIAN_EST" hidden="1">"c3532"</definedName>
    <definedName name="IQ_RETURN_ASSETS_MEDIAN_EST_THOM" hidden="1">"c4035"</definedName>
    <definedName name="IQ_RETURN_ASSETS_NUM_EST" hidden="1">"c3527"</definedName>
    <definedName name="IQ_RETURN_ASSETS_NUM_EST_THOM" hidden="1">"c4038"</definedName>
    <definedName name="IQ_RETURN_ASSETS_STDDEV_EST" hidden="1">"c3528"</definedName>
    <definedName name="IQ_RETURN_ASSETS_STDDEV_EST_THOM" hidden="1">"c4039"</definedName>
    <definedName name="IQ_RETURN_CAPITAL" hidden="1">"c1117"</definedName>
    <definedName name="IQ_RETURN_COMMON_EQUITY" hidden="1">"c13838"</definedName>
    <definedName name="IQ_RETURN_EMBEDDED_VALUE" hidden="1">"c9974"</definedName>
    <definedName name="IQ_RETURN_EQUITY" hidden="1">"c1118"</definedName>
    <definedName name="IQ_RETURN_EQUITY_ACT_OR_EST" hidden="1">"c3586"</definedName>
    <definedName name="IQ_RETURN_EQUITY_ACT_OR_EST_THOM" hidden="1">"c5311"</definedName>
    <definedName name="IQ_RETURN_EQUITY_BANK" hidden="1">"c1119"</definedName>
    <definedName name="IQ_RETURN_EQUITY_BROK" hidden="1">"c1120"</definedName>
    <definedName name="IQ_RETURN_EQUITY_DET_EST" hidden="1">"c12067"</definedName>
    <definedName name="IQ_RETURN_EQUITY_DET_EST_DATE" hidden="1">"c12220"</definedName>
    <definedName name="IQ_RETURN_EQUITY_DET_EST_DATE_THOM" hidden="1">"c12248"</definedName>
    <definedName name="IQ_RETURN_EQUITY_DET_EST_INCL" hidden="1">"c12357"</definedName>
    <definedName name="IQ_RETURN_EQUITY_DET_EST_INCL_THOM" hidden="1">"c12380"</definedName>
    <definedName name="IQ_RETURN_EQUITY_DET_EST_ORIGIN" hidden="1">"c12592"</definedName>
    <definedName name="IQ_RETURN_EQUITY_DET_EST_ORIGIN_THOM" hidden="1">"c12618"</definedName>
    <definedName name="IQ_RETURN_EQUITY_DET_EST_THOM" hidden="1">"c12098"</definedName>
    <definedName name="IQ_RETURN_EQUITY_EST" hidden="1">"c3535"</definedName>
    <definedName name="IQ_RETURN_EQUITY_EST_THOM" hidden="1">"c5479"</definedName>
    <definedName name="IQ_RETURN_EQUITY_FDIC" hidden="1">"c6732"</definedName>
    <definedName name="IQ_RETURN_EQUITY_FS" hidden="1">"c1121"</definedName>
    <definedName name="IQ_RETURN_EQUITY_HIGH_EST" hidden="1">"c3536"</definedName>
    <definedName name="IQ_RETURN_EQUITY_HIGH_EST_THOM" hidden="1">"c5283"</definedName>
    <definedName name="IQ_RETURN_EQUITY_LOW_EST" hidden="1">"c3537"</definedName>
    <definedName name="IQ_RETURN_EQUITY_LOW_EST_THOM" hidden="1">"c5284"</definedName>
    <definedName name="IQ_RETURN_EQUITY_MEDIAN_EST" hidden="1">"c3538"</definedName>
    <definedName name="IQ_RETURN_EQUITY_MEDIAN_EST_THOM" hidden="1">"c5282"</definedName>
    <definedName name="IQ_RETURN_EQUITY_NUM_EST" hidden="1">"c3533"</definedName>
    <definedName name="IQ_RETURN_EQUITY_NUM_EST_THOM" hidden="1">"c5285"</definedName>
    <definedName name="IQ_RETURN_EQUITY_STDDEV_EST" hidden="1">"c3534"</definedName>
    <definedName name="IQ_RETURN_EQUITY_STDDEV_EST_THOM" hidden="1">"c5286"</definedName>
    <definedName name="IQ_RETURN_INVESTMENT" hidden="1">"c1421"</definedName>
    <definedName name="IQ_REV" hidden="1">"c1122"</definedName>
    <definedName name="IQ_REV_AP" hidden="1">"c8873"</definedName>
    <definedName name="IQ_REV_AP_ABS" hidden="1">"c8892"</definedName>
    <definedName name="IQ_REV_BEFORE_LL" hidden="1">"c1123"</definedName>
    <definedName name="IQ_REV_DET_EST" hidden="1">"c12065"</definedName>
    <definedName name="IQ_REV_DET_EST_CURRENCY" hidden="1">"c12472"</definedName>
    <definedName name="IQ_REV_DET_EST_CURRENCY_THOM" hidden="1">"c12495"</definedName>
    <definedName name="IQ_REV_DET_EST_DATE" hidden="1">"c12218"</definedName>
    <definedName name="IQ_REV_DET_EST_DATE_THOM" hidden="1">"c12246"</definedName>
    <definedName name="IQ_REV_DET_EST_INCL" hidden="1">"c12355"</definedName>
    <definedName name="IQ_REV_DET_EST_INCL_THOM" hidden="1">"c12378"</definedName>
    <definedName name="IQ_REV_DET_EST_ORIGIN" hidden="1">"c12590"</definedName>
    <definedName name="IQ_REV_DET_EST_ORIGIN_THOM" hidden="1">"c12616"</definedName>
    <definedName name="IQ_REV_DET_EST_THOM" hidden="1">"c12096"</definedName>
    <definedName name="IQ_REV_NAME_AP" hidden="1">"c8911"</definedName>
    <definedName name="IQ_REV_NAME_AP_ABS" hidden="1">"c8930"</definedName>
    <definedName name="IQ_REV_STDDEV_EST" hidden="1">"c1124"</definedName>
    <definedName name="IQ_REV_STDDEV_EST_CIQ" hidden="1">"c3621"</definedName>
    <definedName name="IQ_REV_STDDEV_EST_THOM" hidden="1">"c3657"</definedName>
    <definedName name="IQ_REV_UTI" hidden="1">"c1125"</definedName>
    <definedName name="IQ_REVALUATION_GAINS_DERIVATIVE_DOM_FFIEC" hidden="1">"c12828"</definedName>
    <definedName name="IQ_REVALUATION_GAINS_DERIVATIVE_FOREIGN_FFIEC" hidden="1">"c12829"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ACT_OR_EST" hidden="1">"c2214"</definedName>
    <definedName name="IQ_REVENUE_ACT_OR_EST_CIQ" hidden="1">"c5059"</definedName>
    <definedName name="IQ_REVENUE_ACT_OR_EST_THOM" hidden="1">"c5299"</definedName>
    <definedName name="IQ_REVENUE_BEFORE_LL_FFIEC" hidden="1">"c13018"</definedName>
    <definedName name="IQ_REVENUE_EST" hidden="1">"c1126"</definedName>
    <definedName name="IQ_REVENUE_EST_BOTTOM_UP" hidden="1">"c5488"</definedName>
    <definedName name="IQ_REVENUE_EST_BOTTOM_UP_CIQ" hidden="1">"c12025"</definedName>
    <definedName name="IQ_REVENUE_EST_CIQ" hidden="1">"c3616"</definedName>
    <definedName name="IQ_REVENUE_EST_THOM" hidden="1">"c3652"</definedName>
    <definedName name="IQ_REVENUE_HIGH_EST" hidden="1">"c1127"</definedName>
    <definedName name="IQ_REVENUE_HIGH_EST_CIQ" hidden="1">"c3618"</definedName>
    <definedName name="IQ_REVENUE_HIGH_EST_THOM" hidden="1">"c3654"</definedName>
    <definedName name="IQ_REVENUE_LOW_EST" hidden="1">"c1128"</definedName>
    <definedName name="IQ_REVENUE_LOW_EST_CIQ" hidden="1">"c3619"</definedName>
    <definedName name="IQ_REVENUE_LOW_EST_THOM" hidden="1">"c3655"</definedName>
    <definedName name="IQ_REVENUE_MEDIAN_EST" hidden="1">"c1662"</definedName>
    <definedName name="IQ_REVENUE_MEDIAN_EST_CIQ" hidden="1">"c3617"</definedName>
    <definedName name="IQ_REVENUE_MEDIAN_EST_THOM" hidden="1">"c3653"</definedName>
    <definedName name="IQ_REVENUE_NUM_EST" hidden="1">"c1129"</definedName>
    <definedName name="IQ_REVENUE_NUM_EST_CIQ" hidden="1">"c3620"</definedName>
    <definedName name="IQ_REVENUE_NUM_EST_THOM" hidden="1">"c3656"</definedName>
    <definedName name="IQ_REVISION_DATE_" hidden="1">39996.5952546296</definedName>
    <definedName name="IQ_REVOLV_OPEN_SECURED_1_4_LL_REC_DOM_FFIEC" hidden="1">"c12902"</definedName>
    <definedName name="IQ_REVOLVING_HOME_EQUITY_LINES_UNUSED_FFIEC" hidden="1">"c13241"</definedName>
    <definedName name="IQ_REVOLVING_LOANS_GROSS_LOANS_FFIEC" hidden="1">"c13398"</definedName>
    <definedName name="IQ_REVOLVING_LOANS_RISK_BASED_FFIEC" hidden="1">"c13419"</definedName>
    <definedName name="IQ_REVOLVING_LOANS_SEC_1_4_DOM_CHARGE_OFFS_FFIEC" hidden="1">"c13168"</definedName>
    <definedName name="IQ_REVOLVING_LOANS_SEC_1_4_DOM_RECOV_FFIEC" hidden="1">"c13190"</definedName>
    <definedName name="IQ_REVOLVING_OPEN_END_1_4_TRADING_DOM_FFIEC" hidden="1">"c12927"</definedName>
    <definedName name="IQ_REVOLVING_SECURED_1_4_DUE_30_89_FFIEC" hidden="1">"c13260"</definedName>
    <definedName name="IQ_REVOLVING_SECURED_1_4_DUE_90_FFIEC" hidden="1">"c13288"</definedName>
    <definedName name="IQ_RISK_ADJ_BANK_ASSETS" hidden="1">"c2670"</definedName>
    <definedName name="IQ_RISK_WEIGHTED_ASSETS_FDIC" hidden="1">"c6370"</definedName>
    <definedName name="IQ_RSI" hidden="1">"c12704"</definedName>
    <definedName name="IQ_RSI_ADJ" hidden="1">"c12705"</definedName>
    <definedName name="IQ_SALARIED_WORKFORCE" hidden="1">"c7010"</definedName>
    <definedName name="IQ_SALARIED_WORKFORCE_APR" hidden="1">"c7670"</definedName>
    <definedName name="IQ_SALARIED_WORKFORCE_APR_FC" hidden="1">"c8550"</definedName>
    <definedName name="IQ_SALARIED_WORKFORCE_FC" hidden="1">"c7890"</definedName>
    <definedName name="IQ_SALARIED_WORKFORCE_POP" hidden="1">"c7230"</definedName>
    <definedName name="IQ_SALARIED_WORKFORCE_POP_FC" hidden="1">"c8110"</definedName>
    <definedName name="IQ_SALARIED_WORKFORCE_YOY" hidden="1">"c7450"</definedName>
    <definedName name="IQ_SALARIED_WORKFORCE_YOY_FC" hidden="1">"c8330"</definedName>
    <definedName name="IQ_SALARIES_EMPLOYEE_BENEFITS_FFIEC" hidden="1">"c13023"</definedName>
    <definedName name="IQ_SALARY" hidden="1">"c1130"</definedName>
    <definedName name="IQ_SALARY_FDIC" hidden="1">"c6576"</definedName>
    <definedName name="IQ_SALE_COMMON_GROSS_FFIEC" hidden="1">"c12963"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PREF_FFIEC" hidden="1">"c12961"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_TREASURY_FFIEC" hidden="1">"c12965"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AVINGS_RATE_DISP_INC_PCT" hidden="1">"c7011"</definedName>
    <definedName name="IQ_SAVINGS_RATE_DISP_INC_PCT_FC" hidden="1">"c7891"</definedName>
    <definedName name="IQ_SAVINGS_RATE_DISP_INC_PCT_POP" hidden="1">"c7231"</definedName>
    <definedName name="IQ_SAVINGS_RATE_DISP_INC_PCT_POP_FC" hidden="1">"c8111"</definedName>
    <definedName name="IQ_SAVINGS_RATE_DISP_INC_PCT_YOY" hidden="1">"c7451"</definedName>
    <definedName name="IQ_SAVINGS_RATE_DISP_INC_PCT_YOY_FC" hidden="1">"c8331"</definedName>
    <definedName name="IQ_SAVINGS_RATE_GDP_PCT" hidden="1">"c7012"</definedName>
    <definedName name="IQ_SAVINGS_RATE_GDP_PCT_FC" hidden="1">"c7892"</definedName>
    <definedName name="IQ_SAVINGS_RATE_GDP_PCT_POP" hidden="1">"c7232"</definedName>
    <definedName name="IQ_SAVINGS_RATE_GDP_PCT_POP_FC" hidden="1">"c8112"</definedName>
    <definedName name="IQ_SAVINGS_RATE_GDP_PCT_YOY" hidden="1">"c7452"</definedName>
    <definedName name="IQ_SAVINGS_RATE_GDP_PCT_YOY_FC" hidden="1">"c8332"</definedName>
    <definedName name="IQ_SAVINGS_RATE_PERSONAL_INC_PCT" hidden="1">"c7013"</definedName>
    <definedName name="IQ_SAVINGS_RATE_PERSONAL_INC_PCT_FC" hidden="1">"c7893"</definedName>
    <definedName name="IQ_SAVINGS_RATE_PERSONAL_INC_PCT_POP" hidden="1">"c7233"</definedName>
    <definedName name="IQ_SAVINGS_RATE_PERSONAL_INC_PCT_POP_FC" hidden="1">"c8113"</definedName>
    <definedName name="IQ_SAVINGS_RATE_PERSONAL_INC_PCT_YOY" hidden="1">"c7453"</definedName>
    <definedName name="IQ_SAVINGS_RATE_PERSONAL_INC_PCT_YOY_FC" hidden="1">"c8333"</definedName>
    <definedName name="IQ_SBC_EXPENSE_FFIEC" hidden="1">"c13077"</definedName>
    <definedName name="IQ_SEC_1_4_CONSTRUCTION_DOM_CHARGE_OFFS_FFIEC" hidden="1">"c13165"</definedName>
    <definedName name="IQ_SEC_1_4_CONSTRUCTION_DOM_RECOV_FFIEC" hidden="1">"c13187"</definedName>
    <definedName name="IQ_SEC_BORROWED_OFF_BS_FFIEC" hidden="1">"c13127"</definedName>
    <definedName name="IQ_SEC_FARMLAND_DOM_CHARGE_OFFS_FFIEC" hidden="1">"c13167"</definedName>
    <definedName name="IQ_SEC_FARMLAND_DOM_RECOV_FFIEC" hidden="1">"c13189"</definedName>
    <definedName name="IQ_SEC_FUNDS_PURCHASED_ASSETS_TOT_FFIEC" hidden="1">"c13447"</definedName>
    <definedName name="IQ_SEC_ISSUED_US_AVAIL_SALE_FFIEC" hidden="1">"c12795"</definedName>
    <definedName name="IQ_SEC_ISSUED_US_TRADING_DOM_FFIEC" hidden="1">"c12920"</definedName>
    <definedName name="IQ_SEC_ISSUED_US_TRADING_FFIEC" hidden="1">"c12815"</definedName>
    <definedName name="IQ_SEC_MULTIFAM_DOM_CHARGE_OFFS_FFIEC" hidden="1">"c13171"</definedName>
    <definedName name="IQ_SEC_MULTIFAM_DOM_DUE_30_89_FFIEC" hidden="1">"c13263"</definedName>
    <definedName name="IQ_SEC_MULTIFAM_DOM_DUE_90_FFIEC" hidden="1">"c13291"</definedName>
    <definedName name="IQ_SEC_MULTIFAM_DOM_NON_ACCRUAL_FFIEC" hidden="1">"c13317"</definedName>
    <definedName name="IQ_SEC_MULTIFAM_DOM_RECOV_FFIEC" hidden="1">"c13193"</definedName>
    <definedName name="IQ_SEC_NONFARM_NONRES_CHARGE_OFFS_FFIEC" hidden="1">"c13629"</definedName>
    <definedName name="IQ_SEC_NONFARM_NONRES_DOM_OFFICES_DUE_30_89_FFIEC" hidden="1">"c13264"</definedName>
    <definedName name="IQ_SEC_NONFARM_NONRES_DOM_OFFICES_DUE_90_FFIEC" hidden="1">"c13292"</definedName>
    <definedName name="IQ_SEC_NONFARM_NONRES_DOM_OFFICES_NON_ACCRUAL_FFIEC" hidden="1">"c13318"</definedName>
    <definedName name="IQ_SEC_NONFARM_NONRES_RECOV_FFIEC" hidden="1">"c13633"</definedName>
    <definedName name="IQ_SEC_OTHER_CONSTRUCTION_DOM_CHARGE_OFFS_FFIEC" hidden="1">"c13166"</definedName>
    <definedName name="IQ_SEC_OTHER_CONSTRUCTION_DOM_RECOV_FFIEC" hidden="1">"c13188"</definedName>
    <definedName name="IQ_SEC_OTHER_NONFARM_NONRES_CHARGE_OFFS_FFIEC" hidden="1">"c13173"</definedName>
    <definedName name="IQ_SEC_OTHER_NONFARM_NONRES_DUE_30_89_FFIEC" hidden="1">"c13266"</definedName>
    <definedName name="IQ_SEC_OTHER_NONFARM_NONRES_DUE_90_FFIEC" hidden="1">"c13637"</definedName>
    <definedName name="IQ_SEC_OTHER_NONFARM_NONRES_RECOV_FFIEC" hidden="1">"c13195"</definedName>
    <definedName name="IQ_SEC_OWNER_NONFARM_NONRES_CHARGE_OFFS_FFIEC" hidden="1">"c13172"</definedName>
    <definedName name="IQ_SEC_OWNER_NONFARM_NONRES_DUE_30_89_FFIEC" hidden="1">"c13265"</definedName>
    <definedName name="IQ_SEC_OWNER_NONFARM_NONRES_DUE_90_FFIEC" hidden="1">"c13636"</definedName>
    <definedName name="IQ_SEC_OWNER_NONFARM_NONRES_RECOV_FFIEC" hidden="1">"c13194"</definedName>
    <definedName name="IQ_SEC_PURCHASED_RESELL" hidden="1">"c5513"</definedName>
    <definedName name="IQ_SEC_PURCHASED_RESELL_FFIEC" hidden="1">"c12807"</definedName>
    <definedName name="IQ_SEC_RE_FOREIGN_DUE_30_89_FFIEC" hidden="1">"c13267"</definedName>
    <definedName name="IQ_SEC_RE_FOREIGN_DUE_90_FFIEC" hidden="1">"c13293"</definedName>
    <definedName name="IQ_SEC_RE_FOREIGN_NON_ACCRUAL_FFIEC" hidden="1">"c13319"</definedName>
    <definedName name="IQ_SEC_SOLD_REPURCHASE_FFIEC" hidden="1">"c12857"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DOM_DUE_30_89_FFIEC" hidden="1">"c13259"</definedName>
    <definedName name="IQ_SECURED_FARMLAND_DOM_DUE_90_FFIEC" hidden="1">"c13287"</definedName>
    <definedName name="IQ_SECURED_FARMLAND_DOM_NON_ACCRUAL_FFIEC" hidden="1">"c13313"</definedName>
    <definedName name="IQ_SECURED_FARMLAND_LL_REC_DOM_FFIEC" hidden="1">"c12901"</definedName>
    <definedName name="IQ_SECURED_FARMLAND_NET_CHARGE_OFFS_FDIC" hidden="1">"c6631"</definedName>
    <definedName name="IQ_SECURED_FARMLAND_RECOVERIES_FDIC" hidden="1">"c6612"</definedName>
    <definedName name="IQ_SECURED_MULTI_RES_LL_REC_DOM_FFIEC" hidden="1">"c12905"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HELD_MATURITY_FFIEC" hidden="1">"c12777"</definedName>
    <definedName name="IQ_SECURITIES_ISSUED_STATES_FDIC" hidden="1">"c6300"</definedName>
    <definedName name="IQ_SECURITIES_ISSUED_US_FFIEC" hidden="1">"c12781"</definedName>
    <definedName name="IQ_SECURITIES_LENT_FDIC" hidden="1">"c6532"</definedName>
    <definedName name="IQ_SECURITIES_LENT_FFIEC" hidden="1">"c13255"</definedName>
    <definedName name="IQ_SECURITIES_QUARTERLY_AVG_FFIEC" hidden="1">"c13079"</definedName>
    <definedName name="IQ_SECURITIES_UNDERWRITING_FDIC" hidden="1">"c6529"</definedName>
    <definedName name="IQ_SECURITIES_UNDERWRITING_UNUSED_FFIEC" hidden="1">"c13247"</definedName>
    <definedName name="IQ_SECURITIZATION_INC_OPERATING_INC_FFIEC" hidden="1">"c13390"</definedName>
    <definedName name="IQ_SECURITIZATION_INCOME_FFIEC" hidden="1">"c13012"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DOL" hidden="1">"c12042"</definedName>
    <definedName name="IQ_SELECTED_FOREIGN_ASSETS_FFIEC" hidden="1">"c13485"</definedName>
    <definedName name="IQ_SEMI_BACKLOG" hidden="1">"c10005"</definedName>
    <definedName name="IQ_SEMI_BACKLOG_AVG_PRICE" hidden="1">"c10006"</definedName>
    <definedName name="IQ_SEMI_BACKLOG_VALUE" hidden="1">"c10007"</definedName>
    <definedName name="IQ_SEMI_BOOK_TO_BILL_RATIO" hidden="1">"c10008"</definedName>
    <definedName name="IQ_SEMI_ORDER_AVG_PRICE" hidden="1">"c10002"</definedName>
    <definedName name="IQ_SEMI_ORDER_VALUE" hidden="1">"c10003"</definedName>
    <definedName name="IQ_SEMI_ORDER_VALUE_CHANGE" hidden="1">"c10004"</definedName>
    <definedName name="IQ_SEMI_ORDERS" hidden="1">"c10001"</definedName>
    <definedName name="IQ_SEMI_WARRANTY_RES_ACQ" hidden="1">"c10011"</definedName>
    <definedName name="IQ_SEMI_WARRANTY_RES_BEG" hidden="1">"c10009"</definedName>
    <definedName name="IQ_SEMI_WARRANTY_RES_END" hidden="1">"c10014"</definedName>
    <definedName name="IQ_SEMI_WARRANTY_RES_ISS" hidden="1">"c10010"</definedName>
    <definedName name="IQ_SEMI_WARRANTY_RES_OTHER" hidden="1">"c10013"</definedName>
    <definedName name="IQ_SEMI_WARRANTY_RES_PAY" hidden="1">"c10012"</definedName>
    <definedName name="IQ_SEP_ACCOUNT_ASSETS_LH_FFIEC" hidden="1">"c13105"</definedName>
    <definedName name="IQ_SEPARATE_ACCOUNT_LIAB_LH_FFIEC" hidden="1">"c13108"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DEPOSIT_ACCOUNTS_DOM_FFIEC" hidden="1">"c13003"</definedName>
    <definedName name="IQ_SERVICE_CHARGES_FDIC" hidden="1">"c6572"</definedName>
    <definedName name="IQ_SERVICE_CHARGES_OPERATING_INC_FFIEC" hidden="1">"c13384"</definedName>
    <definedName name="IQ_SERVICE_FEE" hidden="1">"c8951"</definedName>
    <definedName name="IQ_SERVICING_FEES_FFIEC" hidden="1">"c13011"</definedName>
    <definedName name="IQ_SERVICING_FEES_OPERATING_INC_FFIEC" hidden="1">"c13389"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_PER_DR" hidden="1">"c204"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POSITIONS_FFIEC" hidden="1">"c12859"</definedName>
    <definedName name="IQ_SHORT_TERM_INVEST" hidden="1">"c1425"</definedName>
    <definedName name="IQ_SMALL_INT_BEAR_CD" hidden="1">"c11748"</definedName>
    <definedName name="IQ_SOC_SEC_RECEIPTS_SAAR_USD_APR_FC" hidden="1">"c12005"</definedName>
    <definedName name="IQ_SOC_SEC_RECEIPTS_SAAR_USD_FC" hidden="1">"c12002"</definedName>
    <definedName name="IQ_SOC_SEC_RECEIPTS_SAAR_USD_POP_FC" hidden="1">"c12003"</definedName>
    <definedName name="IQ_SOC_SEC_RECEIPTS_SAAR_USD_YOY_FC" hidden="1">"c12004"</definedName>
    <definedName name="IQ_SOC_SEC_RECEIPTS_USD_APR_FC" hidden="1">"c12001"</definedName>
    <definedName name="IQ_SOC_SEC_RECEIPTS_USD_FC" hidden="1">"c11998"</definedName>
    <definedName name="IQ_SOC_SEC_RECEIPTS_USD_POP_FC" hidden="1">"c11999"</definedName>
    <definedName name="IQ_SOC_SEC_RECEIPTS_USD_YOY_FC" hidden="1">"c12000"</definedName>
    <definedName name="IQ_SOCIAL_SEC_RECEIPTS" hidden="1">"c7015"</definedName>
    <definedName name="IQ_SOCIAL_SEC_RECEIPTS_APR" hidden="1">"c7675"</definedName>
    <definedName name="IQ_SOCIAL_SEC_RECEIPTS_APR_FC" hidden="1">"c8555"</definedName>
    <definedName name="IQ_SOCIAL_SEC_RECEIPTS_FC" hidden="1">"c7895"</definedName>
    <definedName name="IQ_SOCIAL_SEC_RECEIPTS_POP" hidden="1">"c7235"</definedName>
    <definedName name="IQ_SOCIAL_SEC_RECEIPTS_POP_FC" hidden="1">"c8115"</definedName>
    <definedName name="IQ_SOCIAL_SEC_RECEIPTS_SAAR" hidden="1">"c7016"</definedName>
    <definedName name="IQ_SOCIAL_SEC_RECEIPTS_SAAR_APR" hidden="1">"c7676"</definedName>
    <definedName name="IQ_SOCIAL_SEC_RECEIPTS_SAAR_APR_FC" hidden="1">"c8556"</definedName>
    <definedName name="IQ_SOCIAL_SEC_RECEIPTS_SAAR_FC" hidden="1">"c7896"</definedName>
    <definedName name="IQ_SOCIAL_SEC_RECEIPTS_SAAR_POP" hidden="1">"c7236"</definedName>
    <definedName name="IQ_SOCIAL_SEC_RECEIPTS_SAAR_POP_FC" hidden="1">"c8116"</definedName>
    <definedName name="IQ_SOCIAL_SEC_RECEIPTS_SAAR_YOY" hidden="1">"c7456"</definedName>
    <definedName name="IQ_SOCIAL_SEC_RECEIPTS_SAAR_YOY_FC" hidden="1">"c8336"</definedName>
    <definedName name="IQ_SOCIAL_SEC_RECEIPTS_YOY" hidden="1">"c7455"</definedName>
    <definedName name="IQ_SOCIAL_SEC_RECEIPTS_YOY_FC" hidden="1">"c8335"</definedName>
    <definedName name="IQ_SOFTWARE" hidden="1">"c1167"</definedName>
    <definedName name="IQ_SOURCE" hidden="1">"c1168"</definedName>
    <definedName name="IQ_SP_BANK" hidden="1">"c2637"</definedName>
    <definedName name="IQ_SP_BANK_ACTION" hidden="1">"c2636"</definedName>
    <definedName name="IQ_SP_BANK_DATE" hidden="1">"c2635"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NSR_ACTION_LT" hidden="1">"c13616"</definedName>
    <definedName name="IQ_SP_ISSUE_NSR_ACTION_ST" hidden="1">"c13622"</definedName>
    <definedName name="IQ_SP_ISSUE_NSR_DATE_LT" hidden="1">"c13615"</definedName>
    <definedName name="IQ_SP_ISSUE_NSR_DATE_ST" hidden="1">"c13621"</definedName>
    <definedName name="IQ_SP_ISSUE_NSR_LT" hidden="1">"c13614"</definedName>
    <definedName name="IQ_SP_ISSUE_NSR_ST" hidden="1">"c13620"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NSR_ACTION_LT" hidden="1">"c13613"</definedName>
    <definedName name="IQ_SP_NSR_ACTION_ST" hidden="1">"c13619"</definedName>
    <definedName name="IQ_SP_NSR_DATE_LT" hidden="1">"c13612"</definedName>
    <definedName name="IQ_SP_NSR_DATE_ST" hidden="1">"c13618"</definedName>
    <definedName name="IQ_SP_NSR_LT" hidden="1">"c13611"</definedName>
    <definedName name="IQ_SP_NSR_ST" hidden="1">"c13617"</definedName>
    <definedName name="IQ_SP_OUTLOOK_WATCH" hidden="1">"c2639"</definedName>
    <definedName name="IQ_SP_OUTLOOK_WATCH_DATE" hidden="1">"c2638"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Q_FT_LEASED_GROSS_CONSOL" hidden="1">"c8820"</definedName>
    <definedName name="IQ_SQ_FT_LEASED_GROSS_MANAGED" hidden="1">"c8822"</definedName>
    <definedName name="IQ_SQ_FT_LEASED_GROSS_OTHER" hidden="1">"c8823"</definedName>
    <definedName name="IQ_SQ_FT_LEASED_GROSS_TOTAL" hidden="1">"c8824"</definedName>
    <definedName name="IQ_SQ_FT_LEASED_GROSS_UNCONSOL" hidden="1">"c8821"</definedName>
    <definedName name="IQ_SQ_FT_LEASED_NET_CONSOL" hidden="1">"c8825"</definedName>
    <definedName name="IQ_SQ_FT_LEASED_NET_MANAGED" hidden="1">"c8827"</definedName>
    <definedName name="IQ_SQ_FT_LEASED_NET_OTHER" hidden="1">"c8828"</definedName>
    <definedName name="IQ_SQ_FT_LEASED_NET_TOTAL" hidden="1">"c8829"</definedName>
    <definedName name="IQ_SQ_FT_LEASED_NET_UNCONSOL" hidden="1">"c8826"</definedName>
    <definedName name="IQ_SQ_METER_LEASED_GROSS_CONSOL" hidden="1">"c8830"</definedName>
    <definedName name="IQ_SQ_METER_LEASED_GROSS_MANAGED" hidden="1">"c8832"</definedName>
    <definedName name="IQ_SQ_METER_LEASED_GROSS_OTHER" hidden="1">"c8833"</definedName>
    <definedName name="IQ_SQ_METER_LEASED_GROSS_TOTAL" hidden="1">"c8834"</definedName>
    <definedName name="IQ_SQ_METER_LEASED_GROSS_UNCONSOL" hidden="1">"c8831"</definedName>
    <definedName name="IQ_SQ_METER_LEASED_NET_CONSOL" hidden="1">"c8835"</definedName>
    <definedName name="IQ_SQ_METER_LEASED_NET_MANAGED" hidden="1">"c8837"</definedName>
    <definedName name="IQ_SQ_METER_LEASED_NET_OTHER" hidden="1">"c8838"</definedName>
    <definedName name="IQ_SQ_METER_LEASED_NET_TOTAL" hidden="1">"c8839"</definedName>
    <definedName name="IQ_SQ_METER_LEASED_NET_UNCONSOL" hidden="1">"c8836"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ASSETS_TOT_FFIEC" hidden="1">"c13438"</definedName>
    <definedName name="IQ_ST_INVEST_ST_NONCORE_FUNDING_FFIEC" hidden="1">"c13338"</definedName>
    <definedName name="IQ_ST_INVEST_UTI" hidden="1">"c1198"</definedName>
    <definedName name="IQ_ST_NOTE_RECEIV" hidden="1">"c1199"</definedName>
    <definedName name="IQ_STAND_REC_DET_EST" hidden="1">"c12069"</definedName>
    <definedName name="IQ_STAND_REC_DET_EST_DATE" hidden="1">"c12222"</definedName>
    <definedName name="IQ_STAND_REC_DET_EST_DATE_THOM" hidden="1">"c12250"</definedName>
    <definedName name="IQ_STAND_REC_DET_EST_ORIGIN" hidden="1">"c12594"</definedName>
    <definedName name="IQ_STAND_REC_DET_EST_ORIGIN_THOM" hidden="1">"c12620"</definedName>
    <definedName name="IQ_STAND_REC_DET_EST_THOM" hidden="1">"c12100"</definedName>
    <definedName name="IQ_STAND_REC_NUM_DET_EST" hidden="1">"c12068"</definedName>
    <definedName name="IQ_STAND_REC_NUM_DET_EST_DATE" hidden="1">"c12221"</definedName>
    <definedName name="IQ_STAND_REC_NUM_DET_EST_DATE_THOM" hidden="1">"c12249"</definedName>
    <definedName name="IQ_STAND_REC_NUM_DET_EST_ORIGIN" hidden="1">"c12593"</definedName>
    <definedName name="IQ_STAND_REC_NUM_DET_EST_ORIGIN_THOM" hidden="1">"c12619"</definedName>
    <definedName name="IQ_STAND_REC_NUM_DET_EST_THOM" hidden="1">"c12099"</definedName>
    <definedName name="IQ_STATE" hidden="1">"c1200"</definedName>
    <definedName name="IQ_STATE_LOCAL_SPENDING_SAAR" hidden="1">"c7017"</definedName>
    <definedName name="IQ_STATE_LOCAL_SPENDING_SAAR_APR" hidden="1">"c7677"</definedName>
    <definedName name="IQ_STATE_LOCAL_SPENDING_SAAR_APR_FC" hidden="1">"c8557"</definedName>
    <definedName name="IQ_STATE_LOCAL_SPENDING_SAAR_FC" hidden="1">"c7897"</definedName>
    <definedName name="IQ_STATE_LOCAL_SPENDING_SAAR_POP" hidden="1">"c7237"</definedName>
    <definedName name="IQ_STATE_LOCAL_SPENDING_SAAR_POP_FC" hidden="1">"c8117"</definedName>
    <definedName name="IQ_STATE_LOCAL_SPENDING_SAAR_YOY" hidden="1">"c7457"</definedName>
    <definedName name="IQ_STATE_LOCAL_SPENDING_SAAR_YOY_FC" hidden="1">"c8337"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ST" hidden="1">"c4520"</definedName>
    <definedName name="IQ_STOCK_BASED_EXPLORE_DRILL" hidden="1">"c13851"</definedName>
    <definedName name="IQ_STOCK_BASED_GA" hidden="1">"c2993"</definedName>
    <definedName name="IQ_STOCK_BASED_HIGH_EST" hidden="1">"c4521"</definedName>
    <definedName name="IQ_STOCK_BASED_LOW_EST" hidden="1">"c4522"</definedName>
    <definedName name="IQ_STOCK_BASED_MEDIAN_EST" hidden="1">"c4523"</definedName>
    <definedName name="IQ_STOCK_BASED_NUM_EST" hidden="1">"c4524"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STDDEV_EST" hidden="1">"c4525"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TRIPS_RECEIVABLE_MORTGAGE_LOANS_FFIEC" hidden="1">"c12844"</definedName>
    <definedName name="IQ_STRIPS_RECEIVABLE_OTHER_FFIEC" hidden="1">"c12845"</definedName>
    <definedName name="IQ_STRUCT_FIN_CLASS" hidden="1">"c8950"</definedName>
    <definedName name="IQ_STRUCT_FIN_SERIES" hidden="1">"c8956"</definedName>
    <definedName name="IQ_STRUCTURED_NOTES_INVEST_SECURITIES_FFIEC" hidden="1">"c13468"</definedName>
    <definedName name="IQ_STRUCTURING_NOTES_TIER_1_FFIEC" hidden="1">"c13344"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B_NOTES_DEBENTURES_FFIEC" hidden="1">"c12867"</definedName>
    <definedName name="IQ_SUB_NOTES_PAYABLE_UNCONSOLIDATED_TRUSTS_FFIEC" hidden="1">"c12868"</definedName>
    <definedName name="IQ_SUPPLIES_FFIEC" hidden="1">"c13050"</definedName>
    <definedName name="IQ_SURPLUS_FDIC" hidden="1">"c6351"</definedName>
    <definedName name="IQ_SURPLUS_FFIEC" hidden="1">"c12877"</definedName>
    <definedName name="IQ_SVA" hidden="1">"c1214"</definedName>
    <definedName name="IQ_TANGIBLE_ASSETS_FFIEC" hidden="1">"c13916"</definedName>
    <definedName name="IQ_TANGIBLE_COMMON_EQUITY_FFIEC" hidden="1">"c13914"</definedName>
    <definedName name="IQ_TANGIBLE_EQUITY_ASSETS_FFIEC" hidden="1">"c13346"</definedName>
    <definedName name="IQ_TANGIBLE_EQUITY_FFIEC" hidden="1">"c13915"</definedName>
    <definedName name="IQ_TANGIBLE_TIER_1_LEVERAGE_FFIEC" hidden="1">"c13345"</definedName>
    <definedName name="IQ_TARGET_PRICE_DET_EST" hidden="1">"c12070"</definedName>
    <definedName name="IQ_TARGET_PRICE_DET_EST_CURRENCY" hidden="1">"c12475"</definedName>
    <definedName name="IQ_TARGET_PRICE_DET_EST_CURRENCY_THOM" hidden="1">"c12498"</definedName>
    <definedName name="IQ_TARGET_PRICE_DET_EST_DATE" hidden="1">"c12223"</definedName>
    <definedName name="IQ_TARGET_PRICE_DET_EST_DATE_THOM" hidden="1">"c12251"</definedName>
    <definedName name="IQ_TARGET_PRICE_DET_EST_INCL" hidden="1">"c12358"</definedName>
    <definedName name="IQ_TARGET_PRICE_DET_EST_INCL_THOM" hidden="1">"c12381"</definedName>
    <definedName name="IQ_TARGET_PRICE_DET_EST_ORIGIN" hidden="1">"c12729"</definedName>
    <definedName name="IQ_TARGET_PRICE_DET_EST_ORIGIN_THOM" hidden="1">"c12621"</definedName>
    <definedName name="IQ_TARGET_PRICE_DET_EST_THOM" hidden="1">"c12101"</definedName>
    <definedName name="IQ_TARGET_PRICE_NUM" hidden="1">"c1653"</definedName>
    <definedName name="IQ_TARGET_PRICE_NUM_CIQ" hidden="1">"c4661"</definedName>
    <definedName name="IQ_TARGET_PRICE_NUM_THOM" hidden="1">"c5098"</definedName>
    <definedName name="IQ_TARGET_PRICE_STDDEV" hidden="1">"c1654"</definedName>
    <definedName name="IQ_TARGET_PRICE_STDDEV_CIQ" hidden="1">"c4662"</definedName>
    <definedName name="IQ_TARGET_PRICE_STDDEV_THOM" hidden="1">"c5099"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AX_EQUIVALENT_ADJUSTMENTS_FFIEC" hidden="1">"c13854"</definedName>
    <definedName name="IQ_TAX_OTHER_EXP_AP" hidden="1">"c8878"</definedName>
    <definedName name="IQ_TAX_OTHER_EXP_AP_ABS" hidden="1">"c8897"</definedName>
    <definedName name="IQ_TAX_OTHER_EXP_NAME_AP" hidden="1">"c8916"</definedName>
    <definedName name="IQ_TAX_OTHER_EXP_NAME_AP_ABS" hidden="1">"c8935"</definedName>
    <definedName name="IQ_TAXES_ADJ_NOI_FFIEC" hidden="1">"c13395"</definedName>
    <definedName name="IQ_TAXES_NOI_FFIEC" hidden="1">"c13394"</definedName>
    <definedName name="IQ_TAXES_TE_AVG_ASSETS_FFIEC" hidden="1">"c13366"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EXCL_FFIEC" hidden="1">"c13516"</definedName>
    <definedName name="IQ_TBV_SHARE" hidden="1">"c1217"</definedName>
    <definedName name="IQ_TELECOM_FFIEC" hidden="1">"c13057"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DET_EST_CURRENCY_THOM" hidden="1">"c12499"</definedName>
    <definedName name="IQ_TEV_DET_EST_DATE_THOM" hidden="1">"c12252"</definedName>
    <definedName name="IQ_TEV_DET_EST_INCL_THOM" hidden="1">"c12382"</definedName>
    <definedName name="IQ_TEV_DET_EST_ORIGIN_THOM" hidden="1">"c12709"</definedName>
    <definedName name="IQ_TEV_DET_EST_THOM" hidden="1">"c12102"</definedName>
    <definedName name="IQ_TEV_EBIT" hidden="1">"c1220"</definedName>
    <definedName name="IQ_TEV_EBIT_AVG" hidden="1">"c1221"</definedName>
    <definedName name="IQ_TEV_EBIT_FWD" hidden="1">"c2238"</definedName>
    <definedName name="IQ_TEV_EBIT_FWD_THOM" hidden="1">"c4061"</definedName>
    <definedName name="IQ_TEV_EBITDA" hidden="1">"c1222"</definedName>
    <definedName name="IQ_TEV_EBITDA_AVG" hidden="1">"c1223"</definedName>
    <definedName name="IQ_TEV_EBITDA_FWD" hidden="1">"c1224"</definedName>
    <definedName name="IQ_TEV_EBITDA_FWD_CIQ" hidden="1">"c4043"</definedName>
    <definedName name="IQ_TEV_EBITDA_FWD_THOM" hidden="1">"c4057"</definedName>
    <definedName name="IQ_TEV_EMPLOYEE_AVG" hidden="1">"c1225"</definedName>
    <definedName name="IQ_TEV_EST" hidden="1">"c4526"</definedName>
    <definedName name="IQ_TEV_EST_THOM" hidden="1">"c5529"</definedName>
    <definedName name="IQ_TEV_HIGH_EST" hidden="1">"c4527"</definedName>
    <definedName name="IQ_TEV_HIGH_EST_THOM" hidden="1">"c5530"</definedName>
    <definedName name="IQ_TEV_LOW_EST" hidden="1">"c4528"</definedName>
    <definedName name="IQ_TEV_LOW_EST_THOM" hidden="1">"c5531"</definedName>
    <definedName name="IQ_TEV_MEDIAN_EST" hidden="1">"c4529"</definedName>
    <definedName name="IQ_TEV_MEDIAN_EST_THOM" hidden="1">"c5532"</definedName>
    <definedName name="IQ_TEV_NUM_EST" hidden="1">"c4530"</definedName>
    <definedName name="IQ_TEV_NUM_EST_THOM" hidden="1">"c5533"</definedName>
    <definedName name="IQ_TEV_STDDEV_EST" hidden="1">"c4531"</definedName>
    <definedName name="IQ_TEV_STDDEV_EST_THOM" hidden="1">"c5534"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CIQ" hidden="1">"c4044"</definedName>
    <definedName name="IQ_TEV_TOTAL_REV_FWD_THOM" hidden="1">"c4058"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CAPITAL_BEFORE_CHARGES_T1_FFIEC" hidden="1">"c13139"</definedName>
    <definedName name="IQ_TIER_1_CAPITAL_FFIEC" hidden="1">"c13143"</definedName>
    <definedName name="IQ_TIER_1_LEVERAGE_RATIO_FFIEC" hidden="1">"c13160"</definedName>
    <definedName name="IQ_TIER_1_RISK_BASED_CAPITAL_RATIO_FDIC" hidden="1">"c6746"</definedName>
    <definedName name="IQ_TIER_1_RISK_BASED_CAPITAL_RATIO_FFIEC" hidden="1">"c13161"</definedName>
    <definedName name="IQ_TIER_2_CAPITAL_FFIEC" hidden="1">"c13149"</definedName>
    <definedName name="IQ_TIER_3_CAPITAL_ALLOCATED_MARKET_RISK_FFIEC" hidden="1">"c13151"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100K_OTHER_INSTITUTIONS_FFIEC" hidden="1">"c12953"</definedName>
    <definedName name="IQ_TIME_DEPOSITS_LESS_100K_TOT_DEPOSITS_FFIEC" hidden="1">"c13907"</definedName>
    <definedName name="IQ_TIME_DEPOSITS_LESS_THAN_100K_FDIC" hidden="1">"c6465"</definedName>
    <definedName name="IQ_TIME_DEPOSITS_MORE_100K_OTHER_INSTITUTIONS_FFIEC" hidden="1">"c12954"</definedName>
    <definedName name="IQ_TIME_DEPOSITS_MORE_100K_TOT_DEPOSITS_FFIEC" hidden="1">"c13906"</definedName>
    <definedName name="IQ_TIME_DEPOSITS_MORE_THAN_100K_FDIC" hidden="1">"c6470"</definedName>
    <definedName name="IQ_TODAY" hidden="1">0</definedName>
    <definedName name="IQ_TOT_1_4_FAM_LOANS_TOT_LOANS_FFIEC" hidden="1">"c13868"</definedName>
    <definedName name="IQ_TOT_ADJ_INC" hidden="1">"c1616"</definedName>
    <definedName name="IQ_TOT_LEASES_TOT_LOANS_FFIEC" hidden="1">"c13876"</definedName>
    <definedName name="IQ_TOT_NON_RE_LOANS_TOT_LOANS_FFIEC" hidden="1">"c13877"</definedName>
    <definedName name="IQ_TOT_NONTRANS_ACCTS_TOT_DEPOSITS_FFIEC" hidden="1">"c13909"</definedName>
    <definedName name="IQ_TOT_RE_LOANS_TOT_LOANS_FFIEC" hidden="1">"c13873"</definedName>
    <definedName name="IQ_TOT_TIME_DEPOSITS_TOT_DEPOSITS_FFIEC" hidden="1">"c13908"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BNK_SUBTOTAL_AP" hidden="1">"c13644"</definedName>
    <definedName name="IQ_TOTAL_ASSETS_FDIC" hidden="1">"c6339"</definedName>
    <definedName name="IQ_TOTAL_ASSETS_FFIEC" hidden="1">"c12849"</definedName>
    <definedName name="IQ_TOTAL_ASSETS_LH_FFIEC" hidden="1">"c13106"</definedName>
    <definedName name="IQ_TOTAL_ASSETS_PC_FFIEC" hidden="1">"c13099"</definedName>
    <definedName name="IQ_TOTAL_ASSETS_SUBTOTAL_AP" hidden="1">"c8985"</definedName>
    <definedName name="IQ_TOTAL_ATTRIB_ORE_RESOURCES_ALUM" hidden="1">"c9241"</definedName>
    <definedName name="IQ_TOTAL_ATTRIB_ORE_RESOURCES_COP" hidden="1">"c9185"</definedName>
    <definedName name="IQ_TOTAL_ATTRIB_ORE_RESOURCES_DIAM" hidden="1">"c9665"</definedName>
    <definedName name="IQ_TOTAL_ATTRIB_ORE_RESOURCES_GOLD" hidden="1">"c9026"</definedName>
    <definedName name="IQ_TOTAL_ATTRIB_ORE_RESOURCES_IRON" hidden="1">"c9400"</definedName>
    <definedName name="IQ_TOTAL_ATTRIB_ORE_RESOURCES_LEAD" hidden="1">"c9453"</definedName>
    <definedName name="IQ_TOTAL_ATTRIB_ORE_RESOURCES_MANG" hidden="1">"c9506"</definedName>
    <definedName name="IQ_TOTAL_ATTRIB_ORE_RESOURCES_MOLYB" hidden="1">"c9718"</definedName>
    <definedName name="IQ_TOTAL_ATTRIB_ORE_RESOURCES_NICK" hidden="1">"c9294"</definedName>
    <definedName name="IQ_TOTAL_ATTRIB_ORE_RESOURCES_PLAT" hidden="1">"c9132"</definedName>
    <definedName name="IQ_TOTAL_ATTRIB_ORE_RESOURCES_SILVER" hidden="1">"c9079"</definedName>
    <definedName name="IQ_TOTAL_ATTRIB_ORE_RESOURCES_TITAN" hidden="1">"c9559"</definedName>
    <definedName name="IQ_TOTAL_ATTRIB_ORE_RESOURCES_URAN" hidden="1">"c9612"</definedName>
    <definedName name="IQ_TOTAL_ATTRIB_ORE_RESOURCES_ZINC" hidden="1">"c9347"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BEDS" hidden="1">"c8785"</definedName>
    <definedName name="IQ_TOTAL_CA" hidden="1">"c1243"</definedName>
    <definedName name="IQ_TOTAL_CA_SUBTOTAL_AP" hidden="1">"c8986"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L_SUBTOTAL_AP" hidden="1">"c8987"</definedName>
    <definedName name="IQ_TOTAL_COAL_PRODUCTION_COAL" hidden="1">"c9824"</definedName>
    <definedName name="IQ_TOTAL_COMMON" hidden="1">"c1411"</definedName>
    <definedName name="IQ_TOTAL_COMMON_EQUITY" hidden="1">"c1246"</definedName>
    <definedName name="IQ_TOTAL_COMMON_EQUITY_FFIEC" hidden="1">"c13913"</definedName>
    <definedName name="IQ_TOTAL_COMMON_EQUITY_TOTAL_ASSETS_FFIEC" hidden="1">"c13864"</definedName>
    <definedName name="IQ_TOTAL_COMMON_SHARES_OUT_FFIEC" hidden="1">"c12955"</definedName>
    <definedName name="IQ_TOTAL_CONSTRUCTION_LL_REC_DOM_FFIEC" hidden="1">"c13515"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CURRENT" hidden="1">"c6190"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ST" hidden="1">"c4532"</definedName>
    <definedName name="IQ_TOTAL_DEBT_EXCL_FIN" hidden="1">"c2937"</definedName>
    <definedName name="IQ_TOTAL_DEBT_HIGH_EST" hidden="1">"c4534"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EST" hidden="1">"c4535"</definedName>
    <definedName name="IQ_TOTAL_DEBT_MEDIAN_EST" hidden="1">"c4536"</definedName>
    <definedName name="IQ_TOTAL_DEBT_NON_CURRENT" hidden="1">"c6191"</definedName>
    <definedName name="IQ_TOTAL_DEBT_NUM_EST" hidden="1">"c4537"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BT_STDDEV_EST" hidden="1">"c4538"</definedName>
    <definedName name="IQ_TOTAL_DEPOSITS" hidden="1">"c1265"</definedName>
    <definedName name="IQ_TOTAL_DEPOSITS_FDIC" hidden="1">"c6342"</definedName>
    <definedName name="IQ_TOTAL_DEPOSITS_FFIEC" hidden="1">"c13623"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EQUITY_CAPITAL_T1_FFIEC" hidden="1">"c13130"</definedName>
    <definedName name="IQ_TOTAL_EQUITY_FFIEC" hidden="1">"c12881"</definedName>
    <definedName name="IQ_TOTAL_EQUITY_LH_FFIEC" hidden="1">"c13109"</definedName>
    <definedName name="IQ_TOTAL_EQUITY_PC_FFIEC" hidden="1">"c13102"</definedName>
    <definedName name="IQ_TOTAL_EQUITY_SUBTOTAL_AP" hidden="1">"c8989"</definedName>
    <definedName name="IQ_TOTAL_EQUITY_TOTAL_ASSETS_FFIEC" hidden="1">"c13863"</definedName>
    <definedName name="IQ_TOTAL_INT_EXPENSE_FFIEC" hidden="1">"c13000"</definedName>
    <definedName name="IQ_TOTAL_INT_INCOME_FFIEC" hidden="1">"c12989"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EQUITY_SUBTOTAL_AP" hidden="1">"c8988"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EQUITY_FFIEC" hidden="1">"c12882"</definedName>
    <definedName name="IQ_TOTAL_LIABILITIES_FDIC" hidden="1">"c6348"</definedName>
    <definedName name="IQ_TOTAL_LIABILITIES_FFIEC" hidden="1">"c12873"</definedName>
    <definedName name="IQ_TOTAL_LL_REC_DOM_FFIEC" hidden="1">"c12917"</definedName>
    <definedName name="IQ_TOTAL_LL_REC_FFIEC" hidden="1">"c12898"</definedName>
    <definedName name="IQ_TOTAL_LOANS" hidden="1">"c5653"</definedName>
    <definedName name="IQ_TOTAL_LOANS_LEASES_CHARGE_OFFS_FFIEC" hidden="1">"c13186"</definedName>
    <definedName name="IQ_TOTAL_LOANS_LEASES_DUE_30_89_FFIEC" hidden="1">"c13280"</definedName>
    <definedName name="IQ_TOTAL_LOANS_LEASES_DUE_90_FFIEC" hidden="1">"c13306"</definedName>
    <definedName name="IQ_TOTAL_LOANS_LEASES_NON_ACCRUAL_FFIEC" hidden="1">"c13757"</definedName>
    <definedName name="IQ_TOTAL_LOANS_LEASES_RECOV_FFIEC" hidden="1">"c13208"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RE_RESOURCES_ALUM" hidden="1">"c9230"</definedName>
    <definedName name="IQ_TOTAL_ORE_RESOURCES_COP" hidden="1">"c9174"</definedName>
    <definedName name="IQ_TOTAL_ORE_RESOURCES_DIAM" hidden="1">"c9654"</definedName>
    <definedName name="IQ_TOTAL_ORE_RESOURCES_GOLD" hidden="1">"c9015"</definedName>
    <definedName name="IQ_TOTAL_ORE_RESOURCES_IRON" hidden="1">"c9389"</definedName>
    <definedName name="IQ_TOTAL_ORE_RESOURCES_LEAD" hidden="1">"c9442"</definedName>
    <definedName name="IQ_TOTAL_ORE_RESOURCES_MANG" hidden="1">"c9495"</definedName>
    <definedName name="IQ_TOTAL_ORE_RESOURCES_MOLYB" hidden="1">"c9707"</definedName>
    <definedName name="IQ_TOTAL_ORE_RESOURCES_NICK" hidden="1">"c9283"</definedName>
    <definedName name="IQ_TOTAL_ORE_RESOURCES_PLAT" hidden="1">"c9121"</definedName>
    <definedName name="IQ_TOTAL_ORE_RESOURCES_SILVER" hidden="1">"c9068"</definedName>
    <definedName name="IQ_TOTAL_ORE_RESOURCES_TITAN" hidden="1">"c9548"</definedName>
    <definedName name="IQ_TOTAL_ORE_RESOURCES_URAN" hidden="1">"c9601"</definedName>
    <definedName name="IQ_TOTAL_ORE_RESOURCES_ZINC" hidden="1">"c9336"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P" hidden="1">"c8765"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_ATTRIB_RESOURCES_ALUM" hidden="1">"c9246"</definedName>
    <definedName name="IQ_TOTAL_RECOV_ATTRIB_RESOURCES_COAL" hidden="1">"c9820"</definedName>
    <definedName name="IQ_TOTAL_RECOV_ATTRIB_RESOURCES_COP" hidden="1">"c9190"</definedName>
    <definedName name="IQ_TOTAL_RECOV_ATTRIB_RESOURCES_DIAM" hidden="1">"c9670"</definedName>
    <definedName name="IQ_TOTAL_RECOV_ATTRIB_RESOURCES_GOLD" hidden="1">"c9031"</definedName>
    <definedName name="IQ_TOTAL_RECOV_ATTRIB_RESOURCES_IRON" hidden="1">"c9405"</definedName>
    <definedName name="IQ_TOTAL_RECOV_ATTRIB_RESOURCES_LEAD" hidden="1">"c9458"</definedName>
    <definedName name="IQ_TOTAL_RECOV_ATTRIB_RESOURCES_MANG" hidden="1">"c9511"</definedName>
    <definedName name="IQ_TOTAL_RECOV_ATTRIB_RESOURCES_MET_COAL" hidden="1">"c9760"</definedName>
    <definedName name="IQ_TOTAL_RECOV_ATTRIB_RESOURCES_MOLYB" hidden="1">"c9723"</definedName>
    <definedName name="IQ_TOTAL_RECOV_ATTRIB_RESOURCES_NICK" hidden="1">"c9299"</definedName>
    <definedName name="IQ_TOTAL_RECOV_ATTRIB_RESOURCES_PLAT" hidden="1">"c9137"</definedName>
    <definedName name="IQ_TOTAL_RECOV_ATTRIB_RESOURCES_SILVER" hidden="1">"c9084"</definedName>
    <definedName name="IQ_TOTAL_RECOV_ATTRIB_RESOURCES_STEAM" hidden="1">"c9790"</definedName>
    <definedName name="IQ_TOTAL_RECOV_ATTRIB_RESOURCES_TITAN" hidden="1">"c9564"</definedName>
    <definedName name="IQ_TOTAL_RECOV_ATTRIB_RESOURCES_URAN" hidden="1">"c9617"</definedName>
    <definedName name="IQ_TOTAL_RECOV_ATTRIB_RESOURCES_ZINC" hidden="1">"c9352"</definedName>
    <definedName name="IQ_TOTAL_RECOV_RESOURCES_ALUM" hidden="1">"c9236"</definedName>
    <definedName name="IQ_TOTAL_RECOV_RESOURCES_COAL" hidden="1">"c9815"</definedName>
    <definedName name="IQ_TOTAL_RECOV_RESOURCES_COP" hidden="1">"c9180"</definedName>
    <definedName name="IQ_TOTAL_RECOV_RESOURCES_DIAM" hidden="1">"c9660"</definedName>
    <definedName name="IQ_TOTAL_RECOV_RESOURCES_GOLD" hidden="1">"c9021"</definedName>
    <definedName name="IQ_TOTAL_RECOV_RESOURCES_IRON" hidden="1">"c9395"</definedName>
    <definedName name="IQ_TOTAL_RECOV_RESOURCES_LEAD" hidden="1">"c9448"</definedName>
    <definedName name="IQ_TOTAL_RECOV_RESOURCES_MANG" hidden="1">"c9501"</definedName>
    <definedName name="IQ_TOTAL_RECOV_RESOURCES_MET_COAL" hidden="1">"c9755"</definedName>
    <definedName name="IQ_TOTAL_RECOV_RESOURCES_MOLYB" hidden="1">"c9713"</definedName>
    <definedName name="IQ_TOTAL_RECOV_RESOURCES_NICK" hidden="1">"c9289"</definedName>
    <definedName name="IQ_TOTAL_RECOV_RESOURCES_PLAT" hidden="1">"c9127"</definedName>
    <definedName name="IQ_TOTAL_RECOV_RESOURCES_SILVER" hidden="1">"c9074"</definedName>
    <definedName name="IQ_TOTAL_RECOV_RESOURCES_STEAM" hidden="1">"c9785"</definedName>
    <definedName name="IQ_TOTAL_RECOV_RESOURCES_TITAN" hidden="1">"c9554"</definedName>
    <definedName name="IQ_TOTAL_RECOV_RESOURCES_URAN" hidden="1">"c9607"</definedName>
    <definedName name="IQ_TOTAL_RECOV_RESOURCES_ZINC" hidden="1">"c9342"</definedName>
    <definedName name="IQ_TOTAL_RECOVERIES_FDIC" hidden="1">"c6622"</definedName>
    <definedName name="IQ_TOTAL_RESOURCES_CALORIFIC_VALUE_COAL" hidden="1">"c9810"</definedName>
    <definedName name="IQ_TOTAL_RESOURCES_CALORIFIC_VALUE_MET_COAL" hidden="1">"c9750"</definedName>
    <definedName name="IQ_TOTAL_RESOURCES_CALORIFIC_VALUE_STEAM" hidden="1">"c9780"</definedName>
    <definedName name="IQ_TOTAL_RESOURCES_GRADE_ALUM" hidden="1">"c9231"</definedName>
    <definedName name="IQ_TOTAL_RESOURCES_GRADE_COP" hidden="1">"c9175"</definedName>
    <definedName name="IQ_TOTAL_RESOURCES_GRADE_DIAM" hidden="1">"c9655"</definedName>
    <definedName name="IQ_TOTAL_RESOURCES_GRADE_GOLD" hidden="1">"c9016"</definedName>
    <definedName name="IQ_TOTAL_RESOURCES_GRADE_IRON" hidden="1">"c9390"</definedName>
    <definedName name="IQ_TOTAL_RESOURCES_GRADE_LEAD" hidden="1">"c9443"</definedName>
    <definedName name="IQ_TOTAL_RESOURCES_GRADE_MANG" hidden="1">"c9496"</definedName>
    <definedName name="IQ_TOTAL_RESOURCES_GRADE_MOLYB" hidden="1">"c9708"</definedName>
    <definedName name="IQ_TOTAL_RESOURCES_GRADE_NICK" hidden="1">"c9284"</definedName>
    <definedName name="IQ_TOTAL_RESOURCES_GRADE_PLAT" hidden="1">"c9122"</definedName>
    <definedName name="IQ_TOTAL_RESOURCES_GRADE_SILVER" hidden="1">"c9069"</definedName>
    <definedName name="IQ_TOTAL_RESOURCES_GRADE_TITAN" hidden="1">"c9549"</definedName>
    <definedName name="IQ_TOTAL_RESOURCES_GRADE_URAN" hidden="1">"c9602"</definedName>
    <definedName name="IQ_TOTAL_RESOURCES_GRADE_ZINC" hidden="1">"c9337"</definedName>
    <definedName name="IQ_TOTAL_RETURN_SWAPS_DERIVATIVES_BENEFICIARY_FFIEC" hidden="1">"c13120"</definedName>
    <definedName name="IQ_TOTAL_RETURN_SWAPS_DERIVATIVES_GUARANTOR_FFIEC" hidden="1">"c13113"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SUBTOTAL_AP" hidden="1">"c8975"</definedName>
    <definedName name="IQ_TOTAL_REV_UTI" hidden="1">"c1308"</definedName>
    <definedName name="IQ_TOTAL_REVENUE" hidden="1">"c1436"</definedName>
    <definedName name="IQ_TOTAL_REVENUE_FFIEC" hidden="1">"c13020"</definedName>
    <definedName name="IQ_TOTAL_RISK_BASED_CAPITAL_FFIEC" hidden="1">"c13153"</definedName>
    <definedName name="IQ_TOTAL_RISK_BASED_CAPITAL_RATIO_FDIC" hidden="1">"c6747"</definedName>
    <definedName name="IQ_TOTAL_RISK_BASED_CAPITAL_RATIO_FFIEC" hidden="1">"c13162"</definedName>
    <definedName name="IQ_TOTAL_RISK_WEIGHTED_ASSETS_FFIEC" hidden="1">"c13858"</definedName>
    <definedName name="IQ_TOTAL_ROOMS" hidden="1">"c8789"</definedName>
    <definedName name="IQ_TOTAL_SECURITIES_FDIC" hidden="1">"c6306"</definedName>
    <definedName name="IQ_TOTAL_SPECIAL" hidden="1">"c1618"</definedName>
    <definedName name="IQ_TOTAL_SQ_FT" hidden="1">"c8781"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TRADING_ASSETS_FFIEC" hidden="1">"c12939"</definedName>
    <definedName name="IQ_TOTAL_TRADING_LIAB_DOM_FFIEC" hidden="1">"c12944"</definedName>
    <definedName name="IQ_TOTAL_UNITS" hidden="1">"c8773"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SUPPLE" hidden="1">"c13817"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_TERM_FEE" hidden="1">"c13638"</definedName>
    <definedName name="IQ_TR_BUY_TERM_FEE_PCT" hidden="1">"c13639"</definedName>
    <definedName name="IQ_TR_BUYBACK_TO_CLOSE" hidden="1">"c13919"</definedName>
    <definedName name="IQ_TR_BUYBACK_TO_HIGH" hidden="1">"c13917"</definedName>
    <definedName name="IQ_TR_BUYBACK_TO_LOW" hidden="1">"c13918"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PPROACH" hidden="1">"c12706"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GISTRATION_FEES" hidden="1">"c2274"</definedName>
    <definedName name="IQ_TR_RENEWAL_BUYBACK" hidden="1">"c2413"</definedName>
    <definedName name="IQ_TR_ROUND_NUMBER" hidden="1">"c2295"</definedName>
    <definedName name="IQ_TR_SEC_FEES" hidden="1">"c13642"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_TERM_FEE" hidden="1">"c2298"</definedName>
    <definedName name="IQ_TR_SELL_TERM_FEE_PCT" hidden="1">"c2297"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"c13640"</definedName>
    <definedName name="IQ_TR_TERM_FEE_PCT" hidden="1">"c13641"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AIR_VALUE_TOT_FFIEC" hidden="1">"c13210"</definedName>
    <definedName name="IQ_TRADING_ASSETS_FDIC" hidden="1">"c6328"</definedName>
    <definedName name="IQ_TRADING_ASSETS_FFIEC" hidden="1">"c12812"</definedName>
    <definedName name="IQ_TRADING_ASSETS_FOREIGN_FFIEC" hidden="1">"c12940"</definedName>
    <definedName name="IQ_TRADING_ASSETS_LEVEL_1_FFIEC" hidden="1">"c13218"</definedName>
    <definedName name="IQ_TRADING_ASSETS_LEVEL_2_FFIEC" hidden="1">"c13226"</definedName>
    <definedName name="IQ_TRADING_ASSETS_LEVEL_3_FFIEC" hidden="1">"c13234"</definedName>
    <definedName name="IQ_TRADING_ASSETS_QUARTERLY_AVG_FFIEC" hidden="1">"c13085"</definedName>
    <definedName name="IQ_TRADING_CURRENCY" hidden="1">"c2212"</definedName>
    <definedName name="IQ_TRADING_ITEM_CIQID" hidden="1">"c8949"</definedName>
    <definedName name="IQ_TRADING_LIABILITIES_FAIR_VALUE_TOT_FFIEC" hidden="1">"c13214"</definedName>
    <definedName name="IQ_TRADING_LIABILITIES_FDIC" hidden="1">"c6344"</definedName>
    <definedName name="IQ_TRADING_LIABILITIES_FFIEC" hidden="1">"c12858"</definedName>
    <definedName name="IQ_TRADING_LIABILITIES_LEVEL_1_FFIEC" hidden="1">"c13222"</definedName>
    <definedName name="IQ_TRADING_LIABILITIES_LEVEL_2_FFIEC" hidden="1">"c13230"</definedName>
    <definedName name="IQ_TRADING_LIABILITIES_LEVEL_3_FFIEC" hidden="1">"c13238"</definedName>
    <definedName name="IQ_TRADING_REV_OPERATING_INC_FFIEC" hidden="1">"c13385"</definedName>
    <definedName name="IQ_TRADING_REVENUE_FFIEC" hidden="1">"c13004"</definedName>
    <definedName name="IQ_TRANS_ACCTS_TOT_DEPOSITS_FFIEC" hidden="1">"c13904"</definedName>
    <definedName name="IQ_TRANSACTION_ACCOUNTS_FDIC" hidden="1">"c6544"</definedName>
    <definedName name="IQ_TREASURY" hidden="1">"c1311"</definedName>
    <definedName name="IQ_TREASURY_INVEST_SECURITIES_FFIEC" hidden="1">"c13457"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CK_ASSEMBLIES" hidden="1">"c7021"</definedName>
    <definedName name="IQ_TRUCK_ASSEMBLIES_APR" hidden="1">"c7681"</definedName>
    <definedName name="IQ_TRUCK_ASSEMBLIES_APR_FC" hidden="1">"c8561"</definedName>
    <definedName name="IQ_TRUCK_ASSEMBLIES_FC" hidden="1">"c7901"</definedName>
    <definedName name="IQ_TRUCK_ASSEMBLIES_POP" hidden="1">"c7241"</definedName>
    <definedName name="IQ_TRUCK_ASSEMBLIES_POP_FC" hidden="1">"c8121"</definedName>
    <definedName name="IQ_TRUCK_ASSEMBLIES_YOY" hidden="1">"c7461"</definedName>
    <definedName name="IQ_TRUCK_ASSEMBLIES_YOY_FC" hidden="1">"c8341"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RUSTEE" hidden="1">"c8959"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CONSOL_BEDS" hidden="1">"c8783"</definedName>
    <definedName name="IQ_UNCONSOL_PROP" hidden="1">"c8762"</definedName>
    <definedName name="IQ_UNCONSOL_ROOMS" hidden="1">"c8787"</definedName>
    <definedName name="IQ_UNCONSOL_SQ_FT" hidden="1">"c8778"</definedName>
    <definedName name="IQ_UNCONSOL_UNITS" hidden="1">"c8770"</definedName>
    <definedName name="IQ_UNDERWRITER" hidden="1">"c8958"</definedName>
    <definedName name="IQ_UNDERWRITING_PROFIT" hidden="1">"c9975"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EARNED_INCOME_LL_REC_DOM_FFIEC" hidden="1">"c12916"</definedName>
    <definedName name="IQ_UNEARNED_INCOME_LL_REC_FFIEC" hidden="1">"c12897"</definedName>
    <definedName name="IQ_UNEARNED_PREMIUMS_PC_FFIEC" hidden="1">"c13101"</definedName>
    <definedName name="IQ_UNEMPLOYMENT_RATE" hidden="1">"c7023"</definedName>
    <definedName name="IQ_UNEMPLOYMENT_RATE_FC" hidden="1">"c7903"</definedName>
    <definedName name="IQ_UNEMPLOYMENT_RATE_POP" hidden="1">"c7243"</definedName>
    <definedName name="IQ_UNEMPLOYMENT_RATE_POP_FC" hidden="1">"c8123"</definedName>
    <definedName name="IQ_UNEMPLOYMENT_RATE_YOY" hidden="1">"c7463"</definedName>
    <definedName name="IQ_UNEMPLOYMENT_RATE_YOY_FC" hidden="1">"c8343"</definedName>
    <definedName name="IQ_UNIT_LABOR_COST_INDEX" hidden="1">"c7025"</definedName>
    <definedName name="IQ_UNIT_LABOR_COST_INDEX_APR" hidden="1">"c7685"</definedName>
    <definedName name="IQ_UNIT_LABOR_COST_INDEX_APR_FC" hidden="1">"c8565"</definedName>
    <definedName name="IQ_UNIT_LABOR_COST_INDEX_FC" hidden="1">"c7905"</definedName>
    <definedName name="IQ_UNIT_LABOR_COST_INDEX_PCT_CHANGE" hidden="1">"c7024"</definedName>
    <definedName name="IQ_UNIT_LABOR_COST_INDEX_PCT_CHANGE_FC" hidden="1">"c7904"</definedName>
    <definedName name="IQ_UNIT_LABOR_COST_INDEX_PCT_CHANGE_POP" hidden="1">"c7244"</definedName>
    <definedName name="IQ_UNIT_LABOR_COST_INDEX_PCT_CHANGE_POP_FC" hidden="1">"c8124"</definedName>
    <definedName name="IQ_UNIT_LABOR_COST_INDEX_PCT_CHANGE_YOY" hidden="1">"c7464"</definedName>
    <definedName name="IQ_UNIT_LABOR_COST_INDEX_PCT_CHANGE_YOY_FC" hidden="1">"c8344"</definedName>
    <definedName name="IQ_UNIT_LABOR_COST_INDEX_POP" hidden="1">"c7245"</definedName>
    <definedName name="IQ_UNIT_LABOR_COST_INDEX_POP_FC" hidden="1">"c8125"</definedName>
    <definedName name="IQ_UNIT_LABOR_COST_INDEX_YOY" hidden="1">"c7465"</definedName>
    <definedName name="IQ_UNIT_LABOR_COST_INDEX_YOY_FC" hidden="1">"c8345"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COMMITMENTS_COMMERCIAL_RE_UNUSED_FFIEC" hidden="1">"c13246"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S_ADDRESS_LEASE_FIN_REC_FFIEC" hidden="1">"c13624"</definedName>
    <definedName name="IQ_US_AGENCY_OBLIG_FFIEC" hidden="1">"c12779"</definedName>
    <definedName name="IQ_US_AGENCY_OBLIG_TRADING_DOM_FFIEC" hidden="1">"c12919"</definedName>
    <definedName name="IQ_US_AGENCY_OBLIG_TRADING_FFIEC" hidden="1">"c12814"</definedName>
    <definedName name="IQ_US_AGENCY_OBLIGATIONS_AVAIL_SALE_FFIEC" hidden="1">"c12793"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INST_DUE_30_89_FFIEC" hidden="1">"c13268"</definedName>
    <definedName name="IQ_US_INST_DUE_90_FFIEC" hidden="1">"c13294"</definedName>
    <definedName name="IQ_US_INST_NON_ACCRUAL_FFIEC" hidden="1">"c13320"</definedName>
    <definedName name="IQ_US_SPONSORED_AGENCY_OBLIG_AVAIL_SALE_FFIEC" hidden="1">"c12794"</definedName>
    <definedName name="IQ_US_SPONSORED_AGENCY_OBLIG_FFIEC" hidden="1">"c12780"</definedName>
    <definedName name="IQ_US_TREASURY_SEC_AVAIL_SALE_FFIEC" hidden="1">"c12792"</definedName>
    <definedName name="IQ_US_TREASURY_SEC_TRADING_DOM_FFIEC" hidden="1">"c12918"</definedName>
    <definedName name="IQ_US_TREASURY_SEC_TRADING_FFIEC" hidden="1">"c12813"</definedName>
    <definedName name="IQ_US_TREASURY_SECURITIES_FDIC" hidden="1">"c6298"</definedName>
    <definedName name="IQ_US_TREASURY_SECURITIES_FFIEC" hidden="1">"c12778"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ARIABLE_RATE_PREFERREDS_INT_SENSITIVITY_FFIEC" hidden="1">"c13096"</definedName>
    <definedName name="IQ_VC_REV_OPERATING_INC_FFIEC" hidden="1">"c13388"</definedName>
    <definedName name="IQ_VC_REVENUE_FDIC" hidden="1">"c6667"</definedName>
    <definedName name="IQ_VEHICLE_ASSEMBLIES_LIGHT" hidden="1">"c6905"</definedName>
    <definedName name="IQ_VEHICLE_ASSEMBLIES_LIGHT_APR" hidden="1">"c7565"</definedName>
    <definedName name="IQ_VEHICLE_ASSEMBLIES_LIGHT_APR_FC" hidden="1">"c8445"</definedName>
    <definedName name="IQ_VEHICLE_ASSEMBLIES_LIGHT_FC" hidden="1">"c7785"</definedName>
    <definedName name="IQ_VEHICLE_ASSEMBLIES_LIGHT_NEW" hidden="1">"c6925"</definedName>
    <definedName name="IQ_VEHICLE_ASSEMBLIES_LIGHT_NEW_APR" hidden="1">"c7585"</definedName>
    <definedName name="IQ_VEHICLE_ASSEMBLIES_LIGHT_NEW_APR_FC" hidden="1">"c8465"</definedName>
    <definedName name="IQ_VEHICLE_ASSEMBLIES_LIGHT_NEW_FC" hidden="1">"c7805"</definedName>
    <definedName name="IQ_VEHICLE_ASSEMBLIES_LIGHT_NEW_POP" hidden="1">"c7145"</definedName>
    <definedName name="IQ_VEHICLE_ASSEMBLIES_LIGHT_NEW_POP_FC" hidden="1">"c8025"</definedName>
    <definedName name="IQ_VEHICLE_ASSEMBLIES_LIGHT_NEW_YOY" hidden="1">"c7365"</definedName>
    <definedName name="IQ_VEHICLE_ASSEMBLIES_LIGHT_NEW_YOY_FC" hidden="1">"c8245"</definedName>
    <definedName name="IQ_VEHICLE_ASSEMBLIES_LIGHT_POP" hidden="1">"c7125"</definedName>
    <definedName name="IQ_VEHICLE_ASSEMBLIES_LIGHT_POP_FC" hidden="1">"c8005"</definedName>
    <definedName name="IQ_VEHICLE_ASSEMBLIES_LIGHT_YOY" hidden="1">"c7345"</definedName>
    <definedName name="IQ_VEHICLE_ASSEMBLIES_LIGHT_YOY_FC" hidden="1">"c8225"</definedName>
    <definedName name="IQ_VEHICLE_ASSEMBLIES_TOTAL" hidden="1">"c7020"</definedName>
    <definedName name="IQ_VEHICLE_ASSEMBLIES_TOTAL_APR" hidden="1">"c7680"</definedName>
    <definedName name="IQ_VEHICLE_ASSEMBLIES_TOTAL_APR_FC" hidden="1">"c8560"</definedName>
    <definedName name="IQ_VEHICLE_ASSEMBLIES_TOTAL_FC" hidden="1">"c7900"</definedName>
    <definedName name="IQ_VEHICLE_ASSEMBLIES_TOTAL_POP" hidden="1">"c7240"</definedName>
    <definedName name="IQ_VEHICLE_ASSEMBLIES_TOTAL_POP_FC" hidden="1">"c8120"</definedName>
    <definedName name="IQ_VEHICLE_ASSEMBLIES_TOTAL_YOY" hidden="1">"c7460"</definedName>
    <definedName name="IQ_VEHICLE_ASSEMBLIES_TOTAL_YOY_FC" hidden="1">"c8340"</definedName>
    <definedName name="IQ_VENTURE_CAPITAL_REVENUE_FFIEC" hidden="1">"c13010"</definedName>
    <definedName name="IQ_VIF_AFTER_COST_CAPITAL_COVERED" hidden="1">"c9966"</definedName>
    <definedName name="IQ_VIF_AFTER_COST_CAPITAL_GROUP" hidden="1">"c9952"</definedName>
    <definedName name="IQ_VIF_BEFORE_COST_CAPITAL_COVERED" hidden="1">"c9964"</definedName>
    <definedName name="IQ_VIF_BEFORE_COST_CAPITAL_GROUP" hidden="1">"c9950"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VWAP" hidden="1">"c13514"</definedName>
    <definedName name="IQ_WAC_CURRENT" hidden="1">"c8961"</definedName>
    <definedName name="IQ_WAC_ORIGINAL" hidden="1">"c8953"</definedName>
    <definedName name="IQ_WAM_CURRENT" hidden="1">"c8962"</definedName>
    <definedName name="IQ_WAM_ORIGINAL" hidden="1">"c8952"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HOLESALE_INVENTORIES" hidden="1">"c7027"</definedName>
    <definedName name="IQ_WHOLESALE_INVENTORIES_APR" hidden="1">"c7687"</definedName>
    <definedName name="IQ_WHOLESALE_INVENTORIES_APR_FC" hidden="1">"c8567"</definedName>
    <definedName name="IQ_WHOLESALE_INVENTORIES_FC" hidden="1">"c7907"</definedName>
    <definedName name="IQ_WHOLESALE_INVENTORIES_POP" hidden="1">"c7247"</definedName>
    <definedName name="IQ_WHOLESALE_INVENTORIES_POP_FC" hidden="1">"c8127"</definedName>
    <definedName name="IQ_WHOLESALE_INVENTORIES_YOY" hidden="1">"c7467"</definedName>
    <definedName name="IQ_WHOLESALE_INVENTORIES_YOY_FC" hidden="1">"c8347"</definedName>
    <definedName name="IQ_WHOLESALE_IS_RATIO" hidden="1">"c7026"</definedName>
    <definedName name="IQ_WHOLESALE_IS_RATIO_FC" hidden="1">"c7906"</definedName>
    <definedName name="IQ_WHOLESALE_IS_RATIO_POP" hidden="1">"c7246"</definedName>
    <definedName name="IQ_WHOLESALE_IS_RATIO_POP_FC" hidden="1">"c8126"</definedName>
    <definedName name="IQ_WHOLESALE_IS_RATIO_YOY" hidden="1">"c7466"</definedName>
    <definedName name="IQ_WHOLESALE_IS_RATIO_YOY_FC" hidden="1">"c8346"</definedName>
    <definedName name="IQ_WHOLESALE_SALES" hidden="1">"c7028"</definedName>
    <definedName name="IQ_WHOLESALE_SALES_APR" hidden="1">"c7688"</definedName>
    <definedName name="IQ_WHOLESALE_SALES_APR_FC" hidden="1">"c8568"</definedName>
    <definedName name="IQ_WHOLESALE_SALES_FC" hidden="1">"c7908"</definedName>
    <definedName name="IQ_WHOLESALE_SALES_INDEX" hidden="1">"c7029"</definedName>
    <definedName name="IQ_WHOLESALE_SALES_INDEX_APR" hidden="1">"c7689"</definedName>
    <definedName name="IQ_WHOLESALE_SALES_INDEX_APR_FC" hidden="1">"c8569"</definedName>
    <definedName name="IQ_WHOLESALE_SALES_INDEX_FC" hidden="1">"c7909"</definedName>
    <definedName name="IQ_WHOLESALE_SALES_INDEX_POP" hidden="1">"c7249"</definedName>
    <definedName name="IQ_WHOLESALE_SALES_INDEX_POP_FC" hidden="1">"c8129"</definedName>
    <definedName name="IQ_WHOLESALE_SALES_INDEX_YOY" hidden="1">"c7469"</definedName>
    <definedName name="IQ_WHOLESALE_SALES_INDEX_YOY_FC" hidden="1">"c8349"</definedName>
    <definedName name="IQ_WHOLESALE_SALES_POP" hidden="1">"c7248"</definedName>
    <definedName name="IQ_WHOLESALE_SALES_POP_FC" hidden="1">"c8128"</definedName>
    <definedName name="IQ_WHOLESALE_SALES_YOY" hidden="1">"c7468"</definedName>
    <definedName name="IQ_WHOLESALE_SALES_YOY_FC" hidden="1">"c8348"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IELD_FED_FUNDS_SOLD_FFIEC" hidden="1">"c13487"</definedName>
    <definedName name="IQ_YIELD_TRADING_ASSETS_FFIEC" hidden="1">"c13488"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S_DEMO">[23]Расчеты!$B$61</definedName>
    <definedName name="IS_PRO">[23]Расчеты!$B$5</definedName>
    <definedName name="İŞŞL" hidden="1">{"'Grafik Kontrol'!$A$1:$J$8"}</definedName>
    <definedName name="IV">#REF!</definedName>
    <definedName name="IVANA" hidden="1">{"'domaće količine'!$K$34:$P$47"}</definedName>
    <definedName name="ivor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Iатр33">[4]Лист1!$I$23</definedName>
    <definedName name="j">#REF!</definedName>
    <definedName name="jad" hidden="1">{#N/A,"30% Success",TRUE,"Sales Forecast";#N/A,#N/A,TRUE,"Sheet2"}</definedName>
    <definedName name="james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jfldjfs" hidden="1">{#N/A,#N/A,FALSE,"Aging Summary";#N/A,#N/A,FALSE,"Ratio Analysis";#N/A,#N/A,FALSE,"Test 120 Day Accts";#N/A,#N/A,FALSE,"Tickmarks"}</definedName>
    <definedName name="jghfl" hidden="1">{"Output-Min",#N/A,FALSE,"Output"}</definedName>
    <definedName name="jgjhg" hidden="1">#REF!</definedName>
    <definedName name="jgtkhgk">[0]!jgtkhgk</definedName>
    <definedName name="jgtyjutyyji">[0]!jgtyjutyyji</definedName>
    <definedName name="jhgfr" hidden="1">{"glc1",#N/A,FALSE,"GLC";"glc2",#N/A,FALSE,"GLC";"glc3",#N/A,FALSE,"GLC";"glc4",#N/A,FALSE,"GLC";"glc5",#N/A,FALSE,"GLC"}</definedName>
    <definedName name="jhgfyuio" hidden="1">{"glc1",#N/A,FALSE,"GLC";"glc2",#N/A,FALSE,"GLC";"glc3",#N/A,FALSE,"GLC";"glc4",#N/A,FALSE,"GLC";"glc5",#N/A,FALSE,"GLC"}</definedName>
    <definedName name="jhgrewqa" hidden="1">{"glc1",#N/A,FALSE,"GLC";"glc2",#N/A,FALSE,"GLC";"glc3",#N/A,FALSE,"GLC";"glc4",#N/A,FALSE,"GLC";"glc5",#N/A,FALSE,"GLC"}</definedName>
    <definedName name="joaquim" hidden="1">{#N/A,"100% Success",TRUE,"Sales Forecast";#N/A,#N/A,TRUE,"Sheet2"}</definedName>
    <definedName name="Jатр33">[4]Лист1!$J$23</definedName>
    <definedName name="K" hidden="1">{"'Grafik Kontrol'!$A$1:$J$8"}</definedName>
    <definedName name="k_5_10_str">[53]Analitics_Values!$F$3</definedName>
    <definedName name="k_50_60_str">[53]Analitics_Values!$F$4</definedName>
    <definedName name="k_70_80_str">[53]Analitics_Values!$F$5</definedName>
    <definedName name="K_CMR_84">#N/A</definedName>
    <definedName name="K_CMR_91">#N/A</definedName>
    <definedName name="K_INF_PL">#N/A</definedName>
    <definedName name="K_INF_TEK">#N/A</definedName>
    <definedName name="K_OB_84">#N/A</definedName>
    <definedName name="K_OB_91">#N/A</definedName>
    <definedName name="K_PR_84">#N/A</definedName>
    <definedName name="K_PR_91">#N/A</definedName>
    <definedName name="K_UD_PR">#N/A</definedName>
    <definedName name="kad_num">[54]Кадастр!$B$4:$B$1597</definedName>
    <definedName name="kb1_1__1__">'[12]Актив Л1'!$AM$8:$AX$8</definedName>
    <definedName name="kb15_0__2__">'[12]Актив Л1'!$AP$25:$AX$26</definedName>
    <definedName name="kb15_1__2__">'[12]Актив Л1'!$AG$25:$AO$26</definedName>
    <definedName name="kb2_1__1__">'[12]Актив Л1'!$J$10:$AF$10</definedName>
    <definedName name="kb22_1__2__">'[12]Актив Л1'!$AG$27:$AO$27</definedName>
    <definedName name="kb23_1__2__">'[12]Актив Л1'!$AG$28:$AO$29</definedName>
    <definedName name="kb24_1__2__">'[12]Актив Л1'!$AG$30:$AO$30</definedName>
    <definedName name="kb25_1__2__">'[12]Актив Л1'!$AG$31:$AO$32</definedName>
    <definedName name="kb26_1__2__">'[12]Актив Л1'!$AG$33:$AO$34</definedName>
    <definedName name="kb27_1__2__">'[12]Актив Л1'!$AG$35:$AO$36</definedName>
    <definedName name="kb29_1__2__">'[12]Актив Л1'!$AG$37:$AO$38</definedName>
    <definedName name="kb3_1__1__">'[12]Актив Л1'!$AM$10:$AX$10</definedName>
    <definedName name="kb30_1__2__">'[12]Актив Л1'!$AG$39:$AO$39</definedName>
    <definedName name="kb31_1__2__">'[12]Актив Л1'!$AG$40:$AO$41</definedName>
    <definedName name="kb32_1__2__">'[12]Актив Л1'!$AG$42:$AO$43</definedName>
    <definedName name="kb33_1__2__">'[12]Актив Л1'!$AG$44:$AO$44</definedName>
    <definedName name="kb34_1__2__">'[12]Актив Л1'!$AG$45:$AO$46</definedName>
    <definedName name="kb35_1__2__">'[12]Актив Л1'!$AG$47:$AO$47</definedName>
    <definedName name="kb36_1__2__">'[12]Актив Л1'!$AG$48:$AO$48</definedName>
    <definedName name="kb37_0__2__1">'[12]Актив Л1'!$A$49:$AB$49</definedName>
    <definedName name="kb37_1__2__1">'[12]Актив Л1'!$AG$49:$AO$49</definedName>
    <definedName name="kb37_2__2__1">'[12]Актив Л1'!$AP$49:$AX$49</definedName>
    <definedName name="kb4_1__1__">'[12]Актив Л1'!$A$12:$R$12</definedName>
    <definedName name="kb5_1__1__">'[12]Актив Л1'!$AM$11:$AR$12</definedName>
    <definedName name="kb6_1__1__">'[12]Актив Л1'!$T$12:$AC$12</definedName>
    <definedName name="kb7_1__1__">'[12]Актив Л1'!$AS$11:$AX$12</definedName>
    <definedName name="kbcn12">[0]!Weekday_count*[0]!Standard_Daily_Hours</definedName>
    <definedName name="kBNT" hidden="1">{"'РП (2)'!$A$5:$S$150"}</definedName>
    <definedName name="khj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KIE">#REF!</definedName>
    <definedName name="KIM">#REF!</definedName>
    <definedName name="KIMM">#REF!</definedName>
    <definedName name="kjhfg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kjmnzxp" hidden="1">{"glc1",#N/A,FALSE,"GLC";"glc2",#N/A,FALSE,"GLC";"glc3",#N/A,FALSE,"GLC";"glc4",#N/A,FALSE,"GLC";"glc5",#N/A,FALSE,"GLC"}</definedName>
    <definedName name="kjuhkd" hidden="1">{"glc1",#N/A,FALSE,"GLC";"glc2",#N/A,FALSE,"GLC";"glc3",#N/A,FALSE,"GLC";"glc4",#N/A,FALSE,"GLC";"glc5",#N/A,FALSE,"GLC"}</definedName>
    <definedName name="kkk" hidden="1">{#N/A,#N/A,TRUE,"Буржуям"}</definedName>
    <definedName name="kkkkk" hidden="1">{"glc1",#N/A,FALSE,"GLC";"glc2",#N/A,FALSE,"GLC";"glc3",#N/A,FALSE,"GLC";"glc4",#N/A,FALSE,"GLC";"glc5",#N/A,FALSE,"GLC"}</definedName>
    <definedName name="Kod">#REF!</definedName>
    <definedName name="kotir_ak">#REF!</definedName>
    <definedName name="kotir_ob">#REF!</definedName>
    <definedName name="ktzuk" hidden="1">{#N/A,#N/A,FALSE,"Aging Summary";#N/A,#N/A,FALSE,"Ratio Analysis";#N/A,#N/A,FALSE,"Test 120 Day Accts";#N/A,#N/A,FALSE,"Tickmarks"}</definedName>
    <definedName name="kurs">[54]Исх_данные!$B$14</definedName>
    <definedName name="Kатр33">[4]Лист1!$K$23</definedName>
    <definedName name="l" hidden="1">{"ÜBER mit FW","THU",FALSE,"HORE KORR!";"ÜBERSICHT",#N/A,FALSE,"BUDGET 1997_98";"ÜBER mit FW",#N/A,FALSE,"IST KUM KORR!!";"ÜBERSICHT",#N/A,FALSE,"PLAN KUM"}</definedName>
    <definedName name="L3ф73">#REF!</definedName>
    <definedName name="L3ф75">#REF!</definedName>
    <definedName name="L3ф76">#REF!</definedName>
    <definedName name="L3ф79">#REF!</definedName>
    <definedName name="L3ф80">#REF!</definedName>
    <definedName name="LA">[28]Parametrs!$B$12:$C$12</definedName>
    <definedName name="Lang">[55]Groupings!$G$2</definedName>
    <definedName name="LANG_SELECTION_PROMPT">#REF!</definedName>
    <definedName name="Language">#REF!</definedName>
    <definedName name="LB">[4]Лист1!#REF!</definedName>
    <definedName name="LD">[22]Баланс95!#REF!</definedName>
    <definedName name="ldfgdfg" hidden="1">{"Area1",#N/A,FALSE,"OREWACC";"Area2",#N/A,FALSE,"OREWACC"}</definedName>
    <definedName name="LEASES_NUM">[23]Расчеты!$B$24</definedName>
    <definedName name="LeaseStatus">[28]Parametrs!$B$3:$G$3</definedName>
    <definedName name="Leasure">#REF!</definedName>
    <definedName name="LEVELS">#REF!</definedName>
    <definedName name="LEXAN">'[56]см. ЦЕНЫ '!$B$288</definedName>
    <definedName name="lfr" hidden="1">{"'интерфейс'!$J$31:$M$43"}</definedName>
    <definedName name="lg">[55]Список!#REF!</definedName>
    <definedName name="LGP_1">#REF!</definedName>
    <definedName name="LGP_CODE">#REF!</definedName>
    <definedName name="LGP_NAME">#REF!</definedName>
    <definedName name="LifeCycle">[28]Parametrs!$B$2:$D$2</definedName>
    <definedName name="limcount" hidden="1">1</definedName>
    <definedName name="LINK_TO_SENS">#REF!</definedName>
    <definedName name="List_Curr">[57]DropDownList!$D$1:$D$5</definedName>
    <definedName name="List_NewRef">[57]DropDownList!$G$1:$G$3</definedName>
    <definedName name="List_OpEx">[58]DropDownList!$A$1:$A$4</definedName>
    <definedName name="List_Org">#REF!</definedName>
    <definedName name="LIST_PERLEN">[23]Расчеты!$B$6</definedName>
    <definedName name="LIST_STARTMON">[23]Расчеты!$B$9</definedName>
    <definedName name="LIST_STARTYEAR">[23]Расчеты!$B$10</definedName>
    <definedName name="lki" hidden="1">{"glc1",#N/A,FALSE,"GLC";"glc2",#N/A,FALSE,"GLC";"glc3",#N/A,FALSE,"GLC";"glc4",#N/A,FALSE,"GLC";"glc5",#N/A,FALSE,"GLC"}</definedName>
    <definedName name="lkj" hidden="1">{#N/A,#N/A,FALSE,"Aging Summary";#N/A,#N/A,FALSE,"Ratio Analysis";#N/A,#N/A,FALSE,"Test 120 Day Accts";#N/A,#N/A,FALSE,"Tickmarks"}</definedName>
    <definedName name="lkjhk" hidden="1">{"IASTrail",#N/A,FALSE,"IAS"}</definedName>
    <definedName name="ll" hidden="1">{"ÜBERSICHT",#N/A,FALSE,"ABW KUM";"Kostenzoom",#N/A,FALSE,"ABW KUM";"ÜBERSICHT",#N/A,FALSE,"ABW HORE";"Kostenzoom",#N/A,FALSE,"ABW HORE"}</definedName>
    <definedName name="lll" hidden="1">{"DRUCK",#N/A,FALSE,"HOCHRECHNUNG KORR!!!!";"DRUCK",#N/A,FALSE,"BUDGET 1997_98";"DRUCK",#N/A,FALSE,"PL KUM";"DRUCK",#N/A,FALSE,"VJ KUM";"DRUCK",#N/A,FALSE,"IST KUM KORR!!!"}</definedName>
    <definedName name="llll" hidden="1">{"ÜBER mit FW","THU",FALSE,"HORE KORR!";"ÜBERSICHT",#N/A,FALSE,"BUDGET 1997_98";"ÜBER mit FW",#N/A,FALSE,"IST KUM KORR!!";"ÜBERSICHT",#N/A,FALSE,"PLAN KUM"}</definedName>
    <definedName name="LOANS_NUM">[23]Расчеты!$B$22</definedName>
    <definedName name="LONGITUDE">#REF!</definedName>
    <definedName name="lv">[55]Дебиторы!$B$4</definedName>
    <definedName name="Lв214">#REF!</definedName>
    <definedName name="Lф223">#REF!</definedName>
    <definedName name="Lф225">#REF!</definedName>
    <definedName name="Lф226">#REF!</definedName>
    <definedName name="Lф228">#REF!</definedName>
    <definedName name="Lф229">#REF!</definedName>
    <definedName name="Lф252">#REF!</definedName>
    <definedName name="Lф255">#REF!</definedName>
    <definedName name="Lф258">#REF!</definedName>
    <definedName name="Lф259">#REF!</definedName>
    <definedName name="Lф270">#REF!</definedName>
    <definedName name="Lф277">#REF!</definedName>
    <definedName name="Lф318">#REF!</definedName>
    <definedName name="Lф337">#REF!</definedName>
    <definedName name="Lф349">#REF!</definedName>
    <definedName name="Lф355">#REF!</definedName>
    <definedName name="Lф356">#REF!</definedName>
    <definedName name="Lф363">#REF!</definedName>
    <definedName name="Lф364">#REF!</definedName>
    <definedName name="Lф366">#REF!</definedName>
    <definedName name="Lф370">#REF!</definedName>
    <definedName name="Lф372">#REF!</definedName>
    <definedName name="Lф381">#REF!</definedName>
    <definedName name="Lф385">#REF!</definedName>
    <definedName name="Lф451">#REF!</definedName>
    <definedName name="Lф452">#REF!</definedName>
    <definedName name="Lф457">#REF!</definedName>
    <definedName name="Lф470">#REF!</definedName>
    <definedName name="Lф473">#REF!</definedName>
    <definedName name="Lф481">#REF!</definedName>
    <definedName name="Lф482">#REF!</definedName>
    <definedName name="Lф483">#REF!</definedName>
    <definedName name="Lф486">#REF!</definedName>
    <definedName name="M">[22]Баланс95!#REF!</definedName>
    <definedName name="market" hidden="1">{#N/A,"70% Success",FALSE,"Sales Forecast";#N/A,#N/A,FALSE,"Sheet2"}</definedName>
    <definedName name="market_supply">[28]Parametrs!$B$9:$C$9</definedName>
    <definedName name="MAX_DURATION">[23]Расчеты!$B$41</definedName>
    <definedName name="MAX_SENS_OFFSET">[23]Расчеты!$B$44</definedName>
    <definedName name="MEM_FIO">#REF!</definedName>
    <definedName name="MEM_ROLE">#REF!</definedName>
    <definedName name="MEM_SIGN">#REF!</definedName>
    <definedName name="Middle">#REF!</definedName>
    <definedName name="mike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Months">[50]Reference!$G$77:$G$88</definedName>
    <definedName name="MPCS">[22]Баланс95!#REF!</definedName>
    <definedName name="MS">[22]Баланс95!#REF!</definedName>
    <definedName name="Na">#REF!</definedName>
    <definedName name="name" hidden="1">{#N/A,#N/A,FALSE,"Aging Summary";#N/A,#N/A,FALSE,"Ratio Analysis";#N/A,#N/A,FALSE,"Test 120 Day Accts";#N/A,#N/A,FALSE,"Tickmarks"}</definedName>
    <definedName name="NB">[22]Баланс95!#REF!</definedName>
    <definedName name="NCS">[22]Баланс95!#REF!</definedName>
    <definedName name="NDS">#REF!</definedName>
    <definedName name="nekotir_ak">#REF!</definedName>
    <definedName name="nekotir_ob">#REF!</definedName>
    <definedName name="New_spaces">[21]Sensitivity!$I$35</definedName>
    <definedName name="nfyz" hidden="1">{#N/A,#N/A,TRUE,"Буржуям"}</definedName>
    <definedName name="Nhf">[59]НФИк!$A$17</definedName>
    <definedName name="nj" hidden="1">{"ÜBER mit FW","THU",FALSE,"HORE KORR!";"ÜBERSICHT",#N/A,FALSE,"BUDGET 1997_98";"ÜBER mit FW",#N/A,FALSE,"IST KUM KORR!!";"ÜBERSICHT",#N/A,FALSE,"PLAN KUM"}</definedName>
    <definedName name="NN" hidden="1">{"glcbs",#N/A,FALSE,"GLCBS";"glccsbs",#N/A,FALSE,"GLCCSBS";"glcis",#N/A,FALSE,"GLCIS";"glccsis",#N/A,FALSE,"GLCCSIS";"glcrat1",#N/A,FALSE,"GLC-ratios1"}</definedName>
    <definedName name="No.1">[60]Sum!$B$2</definedName>
    <definedName name="No.10">#REF!</definedName>
    <definedName name="No.11">#REF!</definedName>
    <definedName name="No.12">#REF!</definedName>
    <definedName name="No.13">#REF!</definedName>
    <definedName name="No.14">#REF!</definedName>
    <definedName name="No.15">#REF!</definedName>
    <definedName name="No.17">#REF!</definedName>
    <definedName name="No.18">[61]WorkCap!$B$2</definedName>
    <definedName name="No.2">[60]DCF!$B$9</definedName>
    <definedName name="No.22">'[40]HBS initial'!#REF!</definedName>
    <definedName name="No.23">'[40]HBS initial'!#REF!</definedName>
    <definedName name="No.24">'[40]HBS initial'!#REF!</definedName>
    <definedName name="No.25">'[40]HBS initial'!#REF!</definedName>
    <definedName name="No.26">'[40]HBS initial'!#REF!</definedName>
    <definedName name="No.28">'[40]HIS initial'!#REF!</definedName>
    <definedName name="No.29">'[40]HIS initial'!#REF!</definedName>
    <definedName name="No.3">#REF!</definedName>
    <definedName name="No.30">'[40]HIS initial'!#REF!</definedName>
    <definedName name="No.31">'[40]HIS initial'!#REF!</definedName>
    <definedName name="No.7">#REF!</definedName>
    <definedName name="No.8">#REF!</definedName>
    <definedName name="No.9">[62]WACC!$B$2</definedName>
    <definedName name="Nom_prosp">[38]F1_SPRAV!$B$3</definedName>
    <definedName name="NPR">#REF!</definedName>
    <definedName name="NPS">[22]Баланс95!#REF!</definedName>
    <definedName name="NPT">[22]Баланс95!#REF!</definedName>
    <definedName name="NPV">#REF!</definedName>
    <definedName name="NR">#REF!</definedName>
    <definedName name="NS">[22]Баланс95!#REF!</definedName>
    <definedName name="o" hidden="1">{"DRUCK",#N/A,FALSE,"HOCHRECHNUNG KORR!!!!";"DRUCK",#N/A,FALSE,"BUDGET 1997_98";"DRUCK",#N/A,FALSE,"PL KUM";"DRUCK",#N/A,FALSE,"VJ KUM";"DRUCK",#N/A,FALSE,"IST KUM KORR!!!"}</definedName>
    <definedName name="OBJ_AREA">#REF!</definedName>
    <definedName name="OBJ_NAME">#REF!</definedName>
    <definedName name="offer">1.15</definedName>
    <definedName name="OI" hidden="1">{"'Grafik Kontrol'!$A$1:$J$8"}</definedName>
    <definedName name="oil" hidden="1">{"Table A,pg 1",#N/A,FALSE,"Table A-Prov GUR";"Table A,pg 2",#N/A,FALSE,"Table A-Prov GUR"}</definedName>
    <definedName name="okliyedv" hidden="1">{"glc1",#N/A,FALSE,"GLC";"glc2",#N/A,FALSE,"GLC";"glc3",#N/A,FALSE,"GLC";"glc4",#N/A,FALSE,"GLC";"glc5",#N/A,FALSE,"GLC"}</definedName>
    <definedName name="old_kurs">[63]ДАННЫЕ!$C$17</definedName>
    <definedName name="OLE_LINK2_79">NA()</definedName>
    <definedName name="olga_f">#REF!</definedName>
    <definedName name="olkjui" hidden="1">{"glc1",#N/A,FALSE,"GLC";"glc2",#N/A,FALSE,"GLC";"glc3",#N/A,FALSE,"GLC";"glc4",#N/A,FALSE,"GLC";"glc5",#N/A,FALSE,"GLC"}</definedName>
    <definedName name="oo" hidden="1">{"ÜBERSICHT",#N/A,FALSE,"ABW KUM";"Kostenzoom",#N/A,FALSE,"ABW KUM";"ÜBERSICHT",#N/A,FALSE,"ABW HORE";"Kostenzoom",#N/A,FALSE,"ABW HORE"}</definedName>
    <definedName name="ooo" hidden="1">{"Ergebnis",#N/A,FALSE,"HORE 1997_01ST";"Steuern",#N/A,FALSE,"HORE 1997_01ST"}</definedName>
    <definedName name="oooo" hidden="1">{"DRUCK",#N/A,FALSE,"HOCHRECHNUNG KORR!!!!";"DRUCK",#N/A,FALSE,"BUDGET 1997_98";"DRUCK",#N/A,FALSE,"PL KUM";"DRUCK",#N/A,FALSE,"VJ KUM";"DRUCK",#N/A,FALSE,"IST KUM KORR!!!"}</definedName>
    <definedName name="ooooaoaaoa" hidden="1">{"glc1",#N/A,FALSE,"GLC";"glc2",#N/A,FALSE,"GLC";"glc3",#N/A,FALSE,"GLC";"glc4",#N/A,FALSE,"GLC";"glc5",#N/A,FALSE,"GLC"}</definedName>
    <definedName name="ooooo" hidden="1">{"ÜBER mit FW","THU",FALSE,"HORE KORR!";"ÜBERSICHT",#N/A,FALSE,"BUDGET 1997_98";"ÜBER mit FW",#N/A,FALSE,"IST KUM KORR!!";"ÜBERSICHT",#N/A,FALSE,"PLAN KUM"}</definedName>
    <definedName name="ooooooooooo" hidden="1">{"glc1",#N/A,FALSE,"GLC";"glc2",#N/A,FALSE,"GLC";"glc3",#N/A,FALSE,"GLC";"glc4",#N/A,FALSE,"GLC";"glc5",#N/A,FALSE,"GLC"}</definedName>
    <definedName name="OP">[22]Баланс95!#REF!</definedName>
    <definedName name="ORD_NN">#REF!</definedName>
    <definedName name="ORD_NN_VISIBLE">#REF!</definedName>
    <definedName name="Other_Account_From">#REF!</definedName>
    <definedName name="Other_Account_To">#REF!</definedName>
    <definedName name="Output_Directory">#REF!</definedName>
    <definedName name="p" hidden="1">{"DRUCK",#N/A,FALSE,"HOCHRECHNUNG KORR!!!!";"DRUCK",#N/A,FALSE,"BUDGET 1997_98";"DRUCK",#N/A,FALSE,"PL KUM";"DRUCK",#N/A,FALSE,"VJ KUM";"DRUCK",#N/A,FALSE,"IST KUM KORR!!!"}</definedName>
    <definedName name="P1_ESO_PROT" hidden="1">#REF!,#REF!,#REF!,#REF!,#REF!,#REF!,#REF!,#REF!</definedName>
    <definedName name="P1_EXPENSES" hidden="1">#REF!,#REF!,#REF!,#REF!,#REF!,#REF!,#REF!,#REF!,#REF!</definedName>
    <definedName name="P1_EXPENSES2" hidden="1">#REF!,#REF!,#REF!,#REF!,#REF!,#REF!,#REF!,#REF!,#REF!,#REF!,#REF!</definedName>
    <definedName name="P1_RANGE4" hidden="1">#REF!,#REF!,#REF!,#REF!,#REF!,#REF!,#REF!</definedName>
    <definedName name="P1_SBT_PROT" hidden="1">#REF!,#REF!,#REF!,#REF!,#REF!,#REF!,#REF!</definedName>
    <definedName name="P1_SCOPE_FLOAD" hidden="1">#REF!,#REF!,#REF!,#REF!,#REF!,#REF!</definedName>
    <definedName name="P1_SCOPE_FRML" hidden="1">#REF!,#REF!,#REF!,#REF!,#REF!,#REF!</definedName>
    <definedName name="P1_SET_PROT" hidden="1">#REF!,#REF!,#REF!,#REF!,#REF!,#REF!,#REF!</definedName>
    <definedName name="P1_SET_PRT" hidden="1">#REF!,#REF!,#REF!,#REF!,#REF!,#REF!,#REF!</definedName>
    <definedName name="P1_TOTAL" hidden="1">#REF!,#REF!,#REF!,#REF!,#REF!,#REF!,#REF!</definedName>
    <definedName name="P1_TOTAL1" hidden="1">#REF!,#REF!,#REF!,#REF!,#REF!,#REF!,#REF!</definedName>
    <definedName name="P2_RANGE4" hidden="1">#REF!,#REF!,#REF!,#REF!,#REF!,#REF!,#REF!</definedName>
    <definedName name="P2_TOTAL" hidden="1">#REF!,#REF!,#REF!,#REF!,#REF!,#REF!,#REF!</definedName>
    <definedName name="P2_TOTAL1" hidden="1">#REF!,#REF!,#REF!,#REF!,#REF!,#REF!,#REF!</definedName>
    <definedName name="P3_TOTAL" hidden="1">#REF!,#REF!,#REF!,#REF!,#REF!,#REF!,#REF!</definedName>
    <definedName name="P3_TOTAL1" hidden="1">#REF!,#REF!,#REF!,#REF!,#REF!,#REF!,#REF!</definedName>
    <definedName name="P4_TOTAL" hidden="1">#REF!,#REF!,#REF!,#REF!,#REF!,#REF!</definedName>
    <definedName name="P4_TOTAL1" hidden="1">#REF!,#REF!,#REF!,#REF!,#REF!,#REF!</definedName>
    <definedName name="P5_TOTAL" hidden="1">#REF!,#REF!,#REF!,#REF!,#REF!,#REF!,#REF!</definedName>
    <definedName name="P5_TOTAL1" hidden="1">#REF!,#REF!,#REF!,#REF!,#REF!,#REF!,#REF!</definedName>
    <definedName name="P6_TOTAL1" hidden="1">#REF!,#REF!,#REF!,#REF!,#REF!,#REF!,#REF!</definedName>
    <definedName name="PAC_MEC">#N/A</definedName>
    <definedName name="PART_CAPEX">#REF!</definedName>
    <definedName name="PART_FINANCE">#REF!</definedName>
    <definedName name="PART_GENEXP">#REF!</definedName>
    <definedName name="PART_PARAMETER">#REF!</definedName>
    <definedName name="PART_PERSONNEL">#REF!</definedName>
    <definedName name="PART_SALES">#REF!</definedName>
    <definedName name="PART_START">#REF!</definedName>
    <definedName name="PART_TAXES">#REF!</definedName>
    <definedName name="PBD_NAME">#REF!</definedName>
    <definedName name="pedro" hidden="1">{#N/A,"30% Success",TRUE,"Sales Forecast";#N/A,#N/A,TRUE,"Sheet2"}</definedName>
    <definedName name="Period_From">#REF!</definedName>
    <definedName name="PERIOD_LEN">[23]Расчеты!$B$7</definedName>
    <definedName name="Period_To">#REF!</definedName>
    <definedName name="Period1">[43]Настройка!$A$8</definedName>
    <definedName name="Period2">[64]Настройка!$A$11</definedName>
    <definedName name="PeriodLong">#REF!</definedName>
    <definedName name="PERS_COUNT_1">[23]Расчеты!$B$51</definedName>
    <definedName name="PERS_COUNT_2">[23]Расчеты!$B$52</definedName>
    <definedName name="PERS_COUNT_3">[23]Расчеты!$B$53</definedName>
    <definedName name="Pg1_Chrg_Totals">#N/A</definedName>
    <definedName name="Pg1_NChrg_Totals">#N/A</definedName>
    <definedName name="plan" hidden="1">[33]Plan!#REF!</definedName>
    <definedName name="plan1" hidden="1">[33]Plan!#REF!</definedName>
    <definedName name="PLMajeur" hidden="1">[33]Plan!#REF!</definedName>
    <definedName name="PlMineur" hidden="1">[33]Plan!#REF!</definedName>
    <definedName name="ploid" hidden="1">{"glc1",#N/A,FALSE,"GLC";"glc2",#N/A,FALSE,"GLC";"glc3",#N/A,FALSE,"GLC";"glc4",#N/A,FALSE,"GLC";"glc5",#N/A,FALSE,"GLC"}</definedName>
    <definedName name="ploki" hidden="1">{"glc1",#N/A,FALSE,"GLC";"glc2",#N/A,FALSE,"GLC";"glc3",#N/A,FALSE,"GLC";"glc4",#N/A,FALSE,"GLC";"glc5",#N/A,FALSE,"GLC"}</definedName>
    <definedName name="PN">#REF!</definedName>
    <definedName name="port" hidden="1">{#N/A,#N/A,FALSE,"DCF";#N/A,#N/A,FALSE,"WACC";#N/A,#N/A,FALSE,"Sales_EBIT";#N/A,#N/A,FALSE,"Capex_Depreciation";#N/A,#N/A,FALSE,"WC";#N/A,#N/A,FALSE,"Interest";#N/A,#N/A,FALSE,"Assumptions"}</definedName>
    <definedName name="PP" hidden="1">{"'Grafik Kontrol'!$A$1:$J$8"}</definedName>
    <definedName name="ppp" hidden="1">{"Ergebnis",#N/A,FALSE,"HORE 1997_01ST";"Steuern",#N/A,FALSE,"HORE 1997_01ST"}</definedName>
    <definedName name="pppp" hidden="1">{"DRUCK",#N/A,FALSE,"HOCHRECHNUNG KORR!!!!";"DRUCK",#N/A,FALSE,"BUDGET 1997_98";"DRUCK",#N/A,FALSE,"PL KUM";"DRUCK",#N/A,FALSE,"VJ KUM";"DRUCK",#N/A,FALSE,"IST KUM KORR!!!"}</definedName>
    <definedName name="ppppp" hidden="1">{"ÜBER mit FW","THU",FALSE,"HORE KORR!";"ÜBERSICHT",#N/A,FALSE,"BUDGET 1997_98";"ÜBER mit FW",#N/A,FALSE,"IST KUM KORR!!";"ÜBERSICHT",#N/A,FALSE,"PLAN KUM"}</definedName>
    <definedName name="pr">#REF!</definedName>
    <definedName name="pr_z1">#REF!</definedName>
    <definedName name="pr_z2">#REF!</definedName>
    <definedName name="pr_z3">#REF!</definedName>
    <definedName name="pr_z4">#REF!</definedName>
    <definedName name="price_1_p">[53]Analitics_Values!$D$9</definedName>
    <definedName name="price_2_k">[53]Analitics_Values!$D$8</definedName>
    <definedName name="price_2_p">[53]Analitics_Values!$D$10</definedName>
    <definedName name="price_3_p">[53]Analitics_Values!$D$11</definedName>
    <definedName name="Price_dynamics">[21]Sensitivity!$S$6</definedName>
    <definedName name="PRIME_TASS_Report">#REF!</definedName>
    <definedName name="Pring_Titles">'[55]#ССЫЛКА'!$A$1:$IV$16</definedName>
    <definedName name="PRINT">#REF!</definedName>
    <definedName name="Print1">[65]Черновик!$A$1:$M$31</definedName>
    <definedName name="Print2">[65]Черновик!$A$32:$M$65</definedName>
    <definedName name="PRJ_DURATION">[23]Расчеты!$B$8</definedName>
    <definedName name="PRJ_NAME">#REF!</definedName>
    <definedName name="PRM">#REF!</definedName>
    <definedName name="PROD_1">#REF!</definedName>
    <definedName name="PROD_2">#REF!</definedName>
    <definedName name="PROD_3">#REF!</definedName>
    <definedName name="PROD_4">#REF!</definedName>
    <definedName name="PROD_5">#REF!</definedName>
    <definedName name="PROD_6">#REF!</definedName>
    <definedName name="PROD_7">#REF!</definedName>
    <definedName name="PROD_8">#REF!</definedName>
    <definedName name="PRODNUM_SELECTION">#REF!</definedName>
    <definedName name="PRODUCTS_NUM">[23]Расчеты!$B$13</definedName>
    <definedName name="PROFIT_TAX">#REF!</definedName>
    <definedName name="Profit_tax_lessee">'[66]Selling data'!$E$7</definedName>
    <definedName name="PRZ">#REF!</definedName>
    <definedName name="PSBV">[22]Баланс95!#REF!</definedName>
    <definedName name="PSI">[22]Баланс95!#REF!</definedName>
    <definedName name="PSR">#REF!</definedName>
    <definedName name="PSV">[22]Баланс95!#REF!</definedName>
    <definedName name="ptvkz" hidden="1">{"'Sheet1'!$A$1:$G$85"}</definedName>
    <definedName name="PUB_FileID" hidden="1">"L10003363.xls"</definedName>
    <definedName name="PUB_UserID" hidden="1">"MAYERX"</definedName>
    <definedName name="Purchase_price_end_user">'[66]Print Calc'!$E$23</definedName>
    <definedName name="PURPOSE">#REF!</definedName>
    <definedName name="PutHeader">[51]П!PutHeader</definedName>
    <definedName name="q" hidden="1">{"Inflation-BaseYear",#N/A,FALSE,"Inputs"}</definedName>
    <definedName name="qnty">[4]Лист1!#REF!</definedName>
    <definedName name="qq" hidden="1">{"DRUCK",#N/A,FALSE,"HOCHRECHNUNG KORR!!!!";"DRUCK",#N/A,FALSE,"BUDGET 1997_98";"DRUCK",#N/A,FALSE,"PL KUM";"DRUCK",#N/A,FALSE,"VJ KUM";"DRUCK",#N/A,FALSE,"IST KUM KORR!!!"}</definedName>
    <definedName name="qqq" hidden="1">{"Output-3Column",#N/A,FALSE,"Output"}</definedName>
    <definedName name="qqqq" hidden="1">{"NWN_Q1810",#N/A,FALSE,"Q1810_1.V";"NWN_Q1412",#N/A,FALSE,"Q1412_1"}</definedName>
    <definedName name="qqqqq" hidden="1">{"DRUCK",#N/A,FALSE,"HOCHRECHNUNG KORR!!!!";"DRUCK",#N/A,FALSE,"BUDGET 1997_98";"DRUCK",#N/A,FALSE,"PL KUM";"DRUCK",#N/A,FALSE,"VJ KUM";"DRUCK",#N/A,FALSE,"IST KUM KORR!!!"}</definedName>
    <definedName name="qqqqqq" hidden="1">{"Output-BaseYear",#N/A,FALSE,"Output"}</definedName>
    <definedName name="qqqqqq1" hidden="1">{"Output-BaseYear",#N/A,FALSE,"Output"}</definedName>
    <definedName name="qqqqqqqqqqqqqqqqqq" hidden="1">{"Area1",#N/A,FALSE,"OREWACC";"Area2",#N/A,FALSE,"OREWACC"}</definedName>
    <definedName name="QQQWQ" hidden="1">{"'Grafik Kontrol'!$A$1:$J$8"}</definedName>
    <definedName name="QRQER" hidden="1">{"'Grafik Kontrol'!$A$1:$J$8"}</definedName>
    <definedName name="qw" hidden="1">#REF!</definedName>
    <definedName name="QWEW" hidden="1">{"'Grafik Kontrol'!$A$1:$J$8"}</definedName>
    <definedName name="QWQW" hidden="1">{"'Grafik Kontrol'!$A$1:$J$8"}</definedName>
    <definedName name="RangeToPoke">#REF!</definedName>
    <definedName name="rasr">[67]разряд!$A$1:$B$53</definedName>
    <definedName name="rat">#REF!</definedName>
    <definedName name="rate">[68]Hotel!$D$9</definedName>
    <definedName name="rate_3">#REF!</definedName>
    <definedName name="Rate0">[43]Настройка!$B$15</definedName>
    <definedName name="Rate1">[43]Настройка!$B$16</definedName>
    <definedName name="Rate2">#REF!</definedName>
    <definedName name="rateapr">#REF!</definedName>
    <definedName name="ratejan">#REF!</definedName>
    <definedName name="RawData">#REF!</definedName>
    <definedName name="RBC">#REF!</definedName>
    <definedName name="redo" hidden="1">{#N/A,#N/A,FALSE,"ACQ_GRAPHS";#N/A,#N/A,FALSE,"T_1 GRAPHS";#N/A,#N/A,FALSE,"T_2 GRAPHS";#N/A,#N/A,FALSE,"COMB_GRAPHS"}</definedName>
    <definedName name="refTable_str1">#REF!</definedName>
    <definedName name="refTable_str2">#REF!</definedName>
    <definedName name="refTable_str3">#REF!</definedName>
    <definedName name="refTable_str4">#REF!</definedName>
    <definedName name="refTable_str5">#REF!</definedName>
    <definedName name="refTable_str6">#REF!</definedName>
    <definedName name="refTable_str7">#REF!</definedName>
    <definedName name="refTable_str8">#REF!</definedName>
    <definedName name="refTable_str9">#REF!</definedName>
    <definedName name="Relevant" hidden="1">{#N/A,#N/A,FALSE,"Summary";#N/A,#N/A,FALSE,"Program Scheme";#N/A,#N/A,FALSE,"Assumptions";#N/A,#N/A,FALSE,"Development Budget";#N/A,#N/A,FALSE,"Timing";#N/A,#N/A,FALSE,"Development Costs &amp; Revenues";#N/A,#N/A,FALSE,"Cash Flow to Debt &amp; Equity"}</definedName>
    <definedName name="RentRoll">#REF!</definedName>
    <definedName name="REPAYMENTS">[32]KEY!#REF!</definedName>
    <definedName name="report_date">[28]BaseTable!$F$1:$ES$1</definedName>
    <definedName name="rere" hidden="1">{"'Sheet1'!$A$1:$G$85"}</definedName>
    <definedName name="resid1">[69]Предпосылки!$B$85</definedName>
    <definedName name="resid2">[69]Предпосылки!$B$86</definedName>
    <definedName name="resid3">[69]Предпосылки!$B$87</definedName>
    <definedName name="Rest">#REF!</definedName>
    <definedName name="rethehtr">[0]!rethehtr</definedName>
    <definedName name="ReturnMain">[70]!ReturnMain</definedName>
    <definedName name="reutyuert">[0]!reutyuert</definedName>
    <definedName name="reutyuet">[0]!reutyuet</definedName>
    <definedName name="Revenue_Tax_Rate">#REF!</definedName>
    <definedName name="rfdesw" hidden="1">{"glc1",#N/A,FALSE,"GLC";"glc2",#N/A,FALSE,"GLC";"glc3",#N/A,FALSE,"GLC";"glc4",#N/A,FALSE,"GLC";"glc5",#N/A,FALSE,"GLC"}</definedName>
    <definedName name="rfdse" hidden="1">{"glc1",#N/A,FALSE,"GLC";"glc2",#N/A,FALSE,"GLC";"glc3",#N/A,FALSE,"GLC";"glc4",#N/A,FALSE,"GLC";"glc5",#N/A,FALSE,"GLC"}</definedName>
    <definedName name="RGd">"Диагр. 5"</definedName>
    <definedName name="rherjheher">[0]!rherjheher</definedName>
    <definedName name="rhjtrher">[0]!rhjtrher</definedName>
    <definedName name="rhjtrhetr">[0]!rhjtrhetr</definedName>
    <definedName name="rhwjrthe">[0]!rhwjrthe</definedName>
    <definedName name="RiskAfterRecalcMacro" hidden="1">""</definedName>
    <definedName name="RiskAfterSimMacro" hidden="1">""</definedName>
    <definedName name="riskATSTbaselineRequested" hidden="1">TRUE</definedName>
    <definedName name="riskATSTboxGraph" hidden="1">TRUE</definedName>
    <definedName name="riskATSTcomparisonGraph" hidden="1">TRUE</definedName>
    <definedName name="riskATSThistogramGraph" hidden="1">FALSE</definedName>
    <definedName name="riskATSToutputStatistic" hidden="1">4</definedName>
    <definedName name="riskATSTprintReport" hidden="1">FALSE</definedName>
    <definedName name="riskATSTreportsInActiveBook" hidden="1">FALSE</definedName>
    <definedName name="riskATSTreportsSelected" hidden="1">TRUE</definedName>
    <definedName name="riskATSTsequentialStress" hidden="1">TRUE</definedName>
    <definedName name="riskATSTsummaryReport" hidden="1">TRUE</definedName>
    <definedName name="RiskAutoStopPercChange">1.5</definedName>
    <definedName name="RiskBeforeRecalcMacro" hidden="1">""</definedName>
    <definedName name="RiskBeforeSimMacro" hidden="1">""</definedName>
    <definedName name="RiskCollectDistributionSamples" hidden="1">2</definedName>
    <definedName name="RiskExcelReportsGoInNewWorkbook">TRUE</definedName>
    <definedName name="RiskExcelReportsToGenerate">0</definedName>
    <definedName name="RiskFixedSeed" hidden="1">1</definedName>
    <definedName name="RiskGenerateExcelReportsAtEndOfSimulation">FALSE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</definedName>
    <definedName name="RiskNumSimulations" hidden="1">1</definedName>
    <definedName name="RiskPauseOnError" hidden="1">FALSE</definedName>
    <definedName name="RiskRealTimeResults">FALSE</definedName>
    <definedName name="RiskReportGraphFormat">0</definedName>
    <definedName name="RiskResultsUpdateFreq">100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howRiskWindowAtEndOfSimulation">TRUE</definedName>
    <definedName name="RiskStandardRecalc" hidden="1">1</definedName>
    <definedName name="RiskTemplateSheetName">"myTemplate"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ob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rouble3" hidden="1">#REF!</definedName>
    <definedName name="rouble5" hidden="1">#REF!</definedName>
    <definedName name="RPrub.rub.___________газ__">#REF!</definedName>
    <definedName name="RPrub.rub._Газ_ГПЗ">#REF!</definedName>
    <definedName name="RPrub.rub.ADD._AC_60C_им_">#REF!</definedName>
    <definedName name="RPrub.rub.ADD._C_150_от_">#REF!</definedName>
    <definedName name="RPrub.rub.ADD._DF_11">#REF!</definedName>
    <definedName name="RPrub.rub.ADD._LZ_4970_им_">#REF!</definedName>
    <definedName name="RPrub.rub.ADD._LZ_6662_им_">#REF!</definedName>
    <definedName name="RPrub.rub.ADD._LZ_7401_им_">#REF!</definedName>
    <definedName name="RPrub.rub.ADD._LZ_7401B_им_">#REF!</definedName>
    <definedName name="RPrub.rub.ADD._LZ_859_им_">#REF!</definedName>
    <definedName name="RPrub.rub.ADD._PMA_D_30__от_">#REF!</definedName>
    <definedName name="RPrub.rub.ADD._SAP_110_им_">#REF!</definedName>
    <definedName name="RPrub.rub.ADD._SAP_177_им_">#REF!</definedName>
    <definedName name="RPrub.rub.ADD._SAP_2055_им_">#REF!</definedName>
    <definedName name="RPrub.rub.ADD._SAP_2061_им_">#REF!</definedName>
    <definedName name="RPrub.rub.ADD._SAP_2076__им_">#REF!</definedName>
    <definedName name="RPrub.rub.ADD._XHV1_4__им_">#REF!</definedName>
    <definedName name="RPrub.rub.ADD._XHV1_5_2__им_">#REF!</definedName>
    <definedName name="RPrub.rub.ADD._АГИДОЛ_от_">#REF!</definedName>
    <definedName name="RPrub.rub.ADD._БMA_5_от_">#REF!</definedName>
    <definedName name="RPrub.rub.ADD.BNIINP_360_от_">#REF!</definedName>
    <definedName name="RPrub.rub.ADD.C_5A_от_">#REF!</definedName>
    <definedName name="RPrub.rub.ADD.DZ2_5_PDN_1595">#REF!</definedName>
    <definedName name="RPrub.rub.ADD.KHД._от_">#REF!</definedName>
    <definedName name="RPrub.rub.ADD.PMA_D_100__от_">#REF!</definedName>
    <definedName name="RPrub.rub.ADD.ВNIINP_354_от_">#REF!</definedName>
    <definedName name="RPrub.rub.ADD.ОЛОА_246_им_">#REF!</definedName>
    <definedName name="RPrub.rub.ADD.ЦИАТИМ_339_от_">#REF!</definedName>
    <definedName name="RPrub.rub.ADD_ШЕЛВИС_50_100_">#REF!</definedName>
    <definedName name="RPrub.rub.ANGLAMOL_6085_им_">#REF!</definedName>
    <definedName name="RPrub.rub.DZ2_5_Парафлоу_430">#REF!</definedName>
    <definedName name="RPrub.rub.HCK_1_от_">#REF!</definedName>
    <definedName name="RPrub.rub.M12Б">#REF!</definedName>
    <definedName name="RPrub.rub.MTBЕ">#REF!</definedName>
    <definedName name="RPrub.rub.Алкилбензин">#REF!</definedName>
    <definedName name="RPrub.rub.Бентол">#REF!</definedName>
    <definedName name="RPrub.rub.Бутан_25_10_W_">#REF!</definedName>
    <definedName name="RPrub.rub.Верещагино">#REF!</definedName>
    <definedName name="RPrub.rub.Газ._конденсат">#REF!</definedName>
    <definedName name="RPrub.rub.Гексановая_фракция">#REF!</definedName>
    <definedName name="RPrub.rub.ДЕТЕРСОЛ_от_">#REF!</definedName>
    <definedName name="RPrub.rub.Диз.топл._З_0.2_35__">#REF!</definedName>
    <definedName name="RPrub.rub.Диз.топл._Л_0.1_62__">#REF!</definedName>
    <definedName name="RPrub.rub.Дипроксамин_от_">#REF!</definedName>
    <definedName name="RPrub.rub.Изобутан">#REF!</definedName>
    <definedName name="RPrub.rub.изопентан">#REF!</definedName>
    <definedName name="RPrub.rub.Каменный_Лог">#REF!</definedName>
    <definedName name="RPrub.rub.Кунгур">#REF!</definedName>
    <definedName name="RPrub.rub.Мазут__100__">#REF!</definedName>
    <definedName name="RPrub.rub.Мазут__40__">#REF!</definedName>
    <definedName name="RPrub.rub.Мазут_зол.__100_2.0">#REF!</definedName>
    <definedName name="RPrub.rub.Мазут_зол.__100_3.5">#REF!</definedName>
    <definedName name="RPrub.rub.Мазут_зол._100_2.0">#REF!</definedName>
    <definedName name="RPrub.rub.Мазут_зол._40_2.0">#REF!</definedName>
    <definedName name="RPrub.rub.Мазут_м_з_100_2.0">#REF!</definedName>
    <definedName name="RPrub.rub.Мазут_м_з_100_3.5">#REF!</definedName>
    <definedName name="RPrub.rub.Мазут_м_з_40_2.0">#REF!</definedName>
    <definedName name="RPrub.rub.Мазут_м_з_40_3.5">#REF!</definedName>
    <definedName name="RPrub.rub.Метан">#REF!</definedName>
    <definedName name="RPrub.rub.Мотоалкилат">#REF!</definedName>
    <definedName name="RPrub.rub.Оса">#REF!</definedName>
    <definedName name="RPrub.rub.ПАО_4__им_">#REF!</definedName>
    <definedName name="RPrub.rub.ПАО_6_им_">#REF!</definedName>
    <definedName name="RPrub.rub.Парадин_им_">#REF!</definedName>
    <definedName name="RPrub.rub.Паранокс_2281">#REF!</definedName>
    <definedName name="RPrub.rub.Паратон_8900">#REF!</definedName>
    <definedName name="RPrub.rub.Парафин_Т1__">#REF!</definedName>
    <definedName name="RPrub.rub.Парафлоу_387">#REF!</definedName>
    <definedName name="RPrub.rub.пентан_амилен.фр.">#REF!</definedName>
    <definedName name="RPrub.rub.ПЛЕКСОЛ_им_">#REF!</definedName>
    <definedName name="RPrub.rub.ПМС_200A_от_">#REF!</definedName>
    <definedName name="RPrub.rub.Присадка_АФК_от_">#REF!</definedName>
    <definedName name="RPrub.rub.Присадки_SHELL">#REF!</definedName>
    <definedName name="RPrub.rub.Сепафлюкс3137_им_">#REF!</definedName>
    <definedName name="RPrub.rub.Сепафлюкс3153_им_">#REF!</definedName>
    <definedName name="RPrub.rub.Сургут__малосернистая_">#REF!</definedName>
    <definedName name="RPrub.rub.Сургут_Когалым">#REF!</definedName>
    <definedName name="RPrub.rub.Сургут_Лангепас">#REF!</definedName>
    <definedName name="RPrub.rub.Сухой_газ_25_10">#REF!</definedName>
    <definedName name="RPrub.rub.фетерол">#REF!</definedName>
    <definedName name="RPrub.rub.ХАЙТЕК_60_60_им_">#REF!</definedName>
    <definedName name="RPrub.rub.ХАЙТЕК_9420_им_">#REF!</definedName>
    <definedName name="RPrub.rub.ХАЙТЕК_E609_им_">#REF!</definedName>
    <definedName name="RPrub.rub.ХАЙТЕК_Е320_им_">#REF!</definedName>
    <definedName name="RPrub.rub.ШЕЛВИС_50_5__им_">#REF!</definedName>
    <definedName name="RPrub.rub.Эфирная_головка">#REF!</definedName>
    <definedName name="RPrub.р2.ВЕЛС_супер_ТУРБО">#REF!</definedName>
    <definedName name="RPrub.р2.Диз.топл._ДЗп_0.2">#REF!</definedName>
    <definedName name="RPrub.р2.Диз.топл._Л_0.2_62">#REF!</definedName>
    <definedName name="RPrub.р2.Диз.топл._Л_0.5_62">#REF!</definedName>
    <definedName name="RPrub.р2.М_8Г2K">#REF!</definedName>
    <definedName name="RPrub.р2.Мазут__100">#REF!</definedName>
    <definedName name="RPrub.р2.Мазут__100__экспорт_">#REF!</definedName>
    <definedName name="RPrub.р2.Мазут__40___экспорт_">#REF!</definedName>
    <definedName name="RPrub.р2.Мазут_40">#REF!</definedName>
    <definedName name="RPrub.р2.Мазут_зол.__100_2.0">#REF!</definedName>
    <definedName name="RPrub.р2.Мазут_зол.__100_3.5">#REF!</definedName>
    <definedName name="RPrub.р2.Мазут_м_з_100_3.5">#REF!</definedName>
    <definedName name="RPrub.р2.Мазут_м_з_40_3.5">#REF!</definedName>
    <definedName name="RPtn.tn.">#REF!</definedName>
    <definedName name="RPtn.tn.___________газ__">#REF!</definedName>
    <definedName name="RPtn.tn.________газ">#REF!</definedName>
    <definedName name="RPtn.tn.______сырье_на_переработку">#REF!</definedName>
    <definedName name="RPtn.tn._Газ_ГПЗ">#REF!</definedName>
    <definedName name="RPtn.tn.ADD._AC_60C_им_">#REF!</definedName>
    <definedName name="RPtn.tn.ADD._C_150_от_">#REF!</definedName>
    <definedName name="RPtn.tn.ADD._DF_11">#REF!</definedName>
    <definedName name="RPtn.tn.ADD._LZ_4970_им_">#REF!</definedName>
    <definedName name="RPtn.tn.ADD._LZ_6662_им_">#REF!</definedName>
    <definedName name="RPtn.tn.ADD._LZ_7401_им_">#REF!</definedName>
    <definedName name="RPtn.tn.ADD._LZ_7401B_им_">#REF!</definedName>
    <definedName name="RPtn.tn.ADD._LZ_859_им_">#REF!</definedName>
    <definedName name="RPtn.tn.ADD._PMA_D_30__от_">#REF!</definedName>
    <definedName name="RPtn.tn.ADD._SAP_110_им_">#REF!</definedName>
    <definedName name="RPtn.tn.ADD._SAP_177_им_">#REF!</definedName>
    <definedName name="RPtn.tn.ADD._SAP_2055_им_">#REF!</definedName>
    <definedName name="RPtn.tn.ADD._SAP_2061_им_">#REF!</definedName>
    <definedName name="RPtn.tn.ADD._SAP_2076__им_">#REF!</definedName>
    <definedName name="RPtn.tn.ADD._XHV1_4__им_">#REF!</definedName>
    <definedName name="RPtn.tn.ADD._XHV1_5_2__им_">#REF!</definedName>
    <definedName name="RPtn.tn.ADD._АГИДОЛ_от_">#REF!</definedName>
    <definedName name="RPtn.tn.ADD._БMA_5_от_">#REF!</definedName>
    <definedName name="RPtn.tn.ADD.BNIINP_360_от_">#REF!</definedName>
    <definedName name="RPtn.tn.ADD.C_5A_от_">#REF!</definedName>
    <definedName name="RPtn.tn.ADD.DZ2_5_PDN_1595">#REF!</definedName>
    <definedName name="RPtn.tn.ADD.KHД._от_">#REF!</definedName>
    <definedName name="RPtn.tn.ADD.PMA_D_100__от_">#REF!</definedName>
    <definedName name="RPtn.tn.ADD.ВNIINP_354_от_">#REF!</definedName>
    <definedName name="RPtn.tn.ADD.ОЛОА_246_им_">#REF!</definedName>
    <definedName name="RPtn.tn.ADD.ОЛОА_4373p_им_">#REF!</definedName>
    <definedName name="RPtn.tn.ADD.ЦИАТИМ_339_от_">#REF!</definedName>
    <definedName name="RPtn.tn.ADD_ШЕЛВИС_50_100_">#REF!</definedName>
    <definedName name="RPtn.tn.ANGLAMOL_6085_им_">#REF!</definedName>
    <definedName name="RPtn.tn.Cерная_кислота">#REF!</definedName>
    <definedName name="RPtn.tn.DZ2_5_Парафлоу_430">#REF!</definedName>
    <definedName name="RPtn.tn.HCK_1_от_">#REF!</definedName>
    <definedName name="RPtn.tn.M12Б">#REF!</definedName>
    <definedName name="RPtn.tn.MTBЕ">#REF!</definedName>
    <definedName name="RPtn.tn.SAE_10_">#REF!</definedName>
    <definedName name="RPtn.tn.SAE_20">#REF!</definedName>
    <definedName name="RPtn.tn.SAE_30_">#REF!</definedName>
    <definedName name="RPtn.tn.SAE_40_">#REF!</definedName>
    <definedName name="RPtn.tn.SAP_2055">#REF!</definedName>
    <definedName name="RPtn.tn.А_76__экспорт_">#REF!</definedName>
    <definedName name="RPtn.tn.А_76_н_э">#REF!</definedName>
    <definedName name="RPtn.tn.А_92">#REF!</definedName>
    <definedName name="RPtn.tn.Автобензин_всего">#REF!</definedName>
    <definedName name="RPtn.tn.Аи_95">#REF!</definedName>
    <definedName name="RPtn.tn.Аи_98">#REF!</definedName>
    <definedName name="RPtn.tn.Алкилбензин">#REF!</definedName>
    <definedName name="RPtn.tn.Безвозвратные_потери">#REF!</definedName>
    <definedName name="RPtn.tn.Бензин_пиролиза">#REF!</definedName>
    <definedName name="RPtn.tn.Бензин_прямогонный_">#REF!</definedName>
    <definedName name="RPtn.tn.Бензол_нефтяной">#REF!</definedName>
    <definedName name="RPtn.tn.Бентол">#REF!</definedName>
    <definedName name="RPtn.tn.Битум_всего">#REF!</definedName>
    <definedName name="RPtn.tn.Битум_дорожный_60_90">#REF!</definedName>
    <definedName name="RPtn.tn.Битум_дорожный_модиф.">#REF!</definedName>
    <definedName name="RPtn.tn.Битум_строительный_70_30">#REF!</definedName>
    <definedName name="RPtn.tn.БНК_40_180">#REF!</definedName>
    <definedName name="RPtn.tn.Бутан_25_10_W_">#REF!</definedName>
    <definedName name="RPtn.tn.в_т.ч._жидкое">#REF!</definedName>
    <definedName name="RPtn.tn.Вакуумный_газойль">#REF!</definedName>
    <definedName name="RPtn.tn.Вакуумный_газойль_с_прис.">#REF!</definedName>
    <definedName name="RPtn.tn.ВЕЛС._HD._EXTR.">#REF!</definedName>
    <definedName name="RPtn.tn.ВЕЛС_1">#REF!</definedName>
    <definedName name="RPtn.tn.ВЕЛС_2">#REF!</definedName>
    <definedName name="RPtn.tn.ВЕЛС_норд">#REF!</definedName>
    <definedName name="RPtn.tn.ВЕЛС_супер">#REF!</definedName>
    <definedName name="RPtn.tn.ВЕЛС_супер_ТУРБО">#REF!</definedName>
    <definedName name="RPtn.tn.ВЕЛС_ТМ">#REF!</definedName>
    <definedName name="RPtn.tn.ВЕЛС_транс_3">#REF!</definedName>
    <definedName name="RPtn.tn.ВЕЛС_транс_5">#REF!</definedName>
    <definedName name="RPtn.tn.Верещагино">#REF!</definedName>
    <definedName name="RPtn.tn.Газ._конденсат">#REF!</definedName>
    <definedName name="RPtn.tn.Газойль_вид_1__Л_0.05_">#REF!</definedName>
    <definedName name="RPtn.tn.Газойль_вид_2__Л_0.1_">#REF!</definedName>
    <definedName name="RPtn.tn.Газойль_вид_3_Л_0.2_">#REF!</definedName>
    <definedName name="RPtn.tn.Газы_на_ГПЗ">#REF!</definedName>
    <definedName name="RPtn.tn.Газы_на_ТЭЦ">#REF!</definedName>
    <definedName name="RPtn.tn.Гач_">#REF!</definedName>
    <definedName name="RPtn.tn.Гексановая_фракция">#REF!</definedName>
    <definedName name="RPtn.tn.Гудрон">#REF!</definedName>
    <definedName name="RPtn.tn.ДЕТЕРСОЛ_от_">#REF!</definedName>
    <definedName name="RPtn.tn.Дзп_0.2">#REF!</definedName>
    <definedName name="RPtn.tn.ДЗп_0.5">#REF!</definedName>
    <definedName name="RPtn.tn.диз.топл._L_01_62">#REF!</definedName>
    <definedName name="RPtn.tn.диз.топл._L_01_эксп.">#REF!</definedName>
    <definedName name="RPtn.tn.Диз.топл._З_0.2___экспорт_">#REF!</definedName>
    <definedName name="RPtn.tn.Диз.топл._З_0.2_35">#REF!</definedName>
    <definedName name="RPtn.tn.Диз.топл._З_0.2_35__">#REF!</definedName>
    <definedName name="RPtn.tn.Диз.топл._З_0.5_35">#REF!</definedName>
    <definedName name="RPtn.tn.Диз.топл._Л_0.1_62">#REF!</definedName>
    <definedName name="RPtn.tn.Диз.топл._Л_0.1_62__">#REF!</definedName>
    <definedName name="RPtn.tn.Диз.топл._Л_0.2_40">#REF!</definedName>
    <definedName name="RPtn.tn.Диз.топл._Л_0.2_62">#REF!</definedName>
    <definedName name="RPtn.tn.Диз.топл._Л_0.5_62">#REF!</definedName>
    <definedName name="RPtn.tn.Диз.топливо_всего">#REF!</definedName>
    <definedName name="RPtn.tn.Диз_топл_А_0.2_35">#REF!</definedName>
    <definedName name="RPtn.tn.Дипроксамин_от_">#REF!</definedName>
    <definedName name="RPtn.tn.Дюрасин_164">#REF!</definedName>
    <definedName name="RPtn.tn.И_12А">#REF!</definedName>
    <definedName name="RPtn.tn.И_20А">#REF!</definedName>
    <definedName name="RPtn.tn.И_30А">#REF!</definedName>
    <definedName name="RPtn.tn.И_40А">#REF!</definedName>
    <definedName name="RPtn.tn.И_50А">#REF!</definedName>
    <definedName name="RPtn.tn.ИГП_18">#REF!</definedName>
    <definedName name="RPtn.tn.ИГП_30">#REF!</definedName>
    <definedName name="RPtn.tn.ИГП_38">#REF!</definedName>
    <definedName name="RPtn.tn.ИГП_49">#REF!</definedName>
    <definedName name="RPtn.tn.Изм.остатков_компонентов">#REF!</definedName>
    <definedName name="RPtn.tn.Изобутан">#REF!</definedName>
    <definedName name="RPtn.tn.изопентан">#REF!</definedName>
    <definedName name="RPtn.tn.ИТОГО">#REF!</definedName>
    <definedName name="RPtn.tn.К_3_">#REF!</definedName>
    <definedName name="RPtn.tn.Каменный_Лог">#REF!</definedName>
    <definedName name="RPtn.tn.Кислород">#REF!</definedName>
    <definedName name="RPtn.tn.Кокс_всего">#REF!</definedName>
    <definedName name="RPtn.tn.Кокс_крупнокусковый">#REF!</definedName>
    <definedName name="RPtn.tn.Кокс_мелкий">#REF!</definedName>
    <definedName name="RPtn.tn.Кокс_суммарный_электродный">#REF!</definedName>
    <definedName name="RPtn.tn.Ком.вязкий">#REF!</definedName>
    <definedName name="RPtn.tn.Ком.остаточный">#REF!</definedName>
    <definedName name="RPtn.tn.Ком.средневязкий">#REF!</definedName>
    <definedName name="RPtn.tn.Компоненты_всего">#REF!</definedName>
    <definedName name="RPtn.tn.Кратон_1101М">#REF!</definedName>
    <definedName name="RPtn.tn.Кунгур">#REF!</definedName>
    <definedName name="RPtn.tn.ЛУКойл_Арктик_1_L">#REF!</definedName>
    <definedName name="RPtn.tn.ЛУКойл_Арктик_1_S">#REF!</definedName>
    <definedName name="RPtn.tn.ЛУКойл_Арктик_1_Э">#REF!</definedName>
    <definedName name="RPtn.tn.ЛУКойл_Люкс">#REF!</definedName>
    <definedName name="RPtn.tn.ЛУКойл_Супер">#REF!</definedName>
    <definedName name="RPtn.tn.М_10_Г2ЦС">#REF!</definedName>
    <definedName name="RPtn.tn.М_10В2">#REF!</definedName>
    <definedName name="RPtn.tn.М_10Г2">#REF!</definedName>
    <definedName name="RPtn.tn.М_10Г2__и_">#REF!</definedName>
    <definedName name="RPtn.tn.М_10Г2К">#REF!</definedName>
    <definedName name="RPtn.tn.М_10ДМ">#REF!</definedName>
    <definedName name="RPtn.tn.М_10ДМ__и_">#REF!</definedName>
    <definedName name="RPtn.tn.М_14_Г2ЦС">#REF!</definedName>
    <definedName name="RPtn.tn.М_14Б">#REF!</definedName>
    <definedName name="RPtn.tn.М_14В2">#REF!</definedName>
    <definedName name="RPtn.tn.М_16_Г2ЦС">#REF!</definedName>
    <definedName name="RPtn.tn.М_8В">#REF!</definedName>
    <definedName name="RPtn.tn.М_8В2">#REF!</definedName>
    <definedName name="RPtn.tn.М_8Ви">#REF!</definedName>
    <definedName name="RPtn.tn.М_8Г2">#REF!</definedName>
    <definedName name="RPtn.tn.М_8Г2__и_">#REF!</definedName>
    <definedName name="RPtn.tn.М_8Г2K">#REF!</definedName>
    <definedName name="RPtn.tn.М_8ДМ">#REF!</definedName>
    <definedName name="RPtn.tn.Мазут__100__">#REF!</definedName>
    <definedName name="RPtn.tn.Мазут__40__">#REF!</definedName>
    <definedName name="RPtn.tn.Мазут_зол._100_2.0">#REF!</definedName>
    <definedName name="RPtn.tn.Мазут_зол._100_3.5">#REF!</definedName>
    <definedName name="RPtn.tn.Мазут_зол._40_2.0">#REF!</definedName>
    <definedName name="RPtn.tn.Мазут_м_з_100_2.0">#REF!</definedName>
    <definedName name="RPtn.tn.Мазут_м_з_40_2.0">#REF!</definedName>
    <definedName name="RPtn.tn.Мазут_м_з_40_3.5">#REF!</definedName>
    <definedName name="RPtn.tn.Мазут_товарный_всего">#REF!</definedName>
    <definedName name="RPtn.tn.Мазут_флотский">#REF!</definedName>
    <definedName name="RPtn.tn.Масла_всего">#REF!</definedName>
    <definedName name="RPtn.tn.Метан">#REF!</definedName>
    <definedName name="RPtn.tn.Мотоалкилат">#REF!</definedName>
    <definedName name="RPtn.tn.Нефтепродукты_на_соб.нужды">#REF!</definedName>
    <definedName name="RPtn.tn.Оса">#REF!</definedName>
    <definedName name="RPtn.tn.П_2">#REF!</definedName>
    <definedName name="RPtn.tn.ПАО_4__им_">#REF!</definedName>
    <definedName name="RPtn.tn.ПАО_6_им_">#REF!</definedName>
    <definedName name="RPtn.tn.Парадин_им_">#REF!</definedName>
    <definedName name="RPtn.tn.Паранокс_2281">#REF!</definedName>
    <definedName name="RPtn.tn.Паратон_8900">#REF!</definedName>
    <definedName name="RPtn.tn.Парафин_всего">#REF!</definedName>
    <definedName name="RPtn.tn.Парафин_НС">#REF!</definedName>
    <definedName name="RPtn.tn.Парафин_Т1">#REF!</definedName>
    <definedName name="RPtn.tn.Парафин_Т1__">#REF!</definedName>
    <definedName name="RPtn.tn.Парафин_Т1__экспорт_">#REF!</definedName>
    <definedName name="RPtn.tn.Парафлоу_387">#REF!</definedName>
    <definedName name="RPtn.tn.пентан_амилен.фр.">#REF!</definedName>
    <definedName name="RPtn.tn.Переработка_нефтяного_сырья">#REF!</definedName>
    <definedName name="RPtn.tn.Печное_топливо">#REF!</definedName>
    <definedName name="RPtn.tn.ПЛЕКСОЛ_им_">#REF!</definedName>
    <definedName name="RPtn.tn.ПМС_200A_от_">#REF!</definedName>
    <definedName name="RPtn.tn.Полуфабрикаты_и_прочее_сырье">#REF!</definedName>
    <definedName name="RPtn.tn.Поставка_нефтяного_сырья_всего">#REF!</definedName>
    <definedName name="RPtn.tn.Присадка_АФК_от_">#REF!</definedName>
    <definedName name="RPtn.tn.Присадки">#REF!</definedName>
    <definedName name="RPtn.tn.Присадки_SHELL">#REF!</definedName>
    <definedName name="RPtn.tn.Рефлюкс">#REF!</definedName>
    <definedName name="RPtn.tn.РТ">#REF!</definedName>
    <definedName name="RPtn.tn.РТ__">#REF!</definedName>
    <definedName name="RPtn.tn.РТ_экспорт_">#REF!</definedName>
    <definedName name="RPtn.tn.Сепафлюкс3137_им_">#REF!</definedName>
    <definedName name="RPtn.tn.Сепафлюкс3153_им_">#REF!</definedName>
    <definedName name="RPtn.tn.Сероводород">#REF!</definedName>
    <definedName name="RPtn.tn.Сероводород_на_соб._нужды__">#REF!</definedName>
    <definedName name="RPtn.tn.со_стороны">#REF!</definedName>
    <definedName name="RPtn.tn.Сольвент">#REF!</definedName>
    <definedName name="RPtn.tn.СПКНБ">#REF!</definedName>
    <definedName name="RPtn.tn.Стабикар">#REF!</definedName>
    <definedName name="RPtn.tn.Сургут__малосернистая_">#REF!</definedName>
    <definedName name="RPtn.tn.Сургут_Когалым">#REF!</definedName>
    <definedName name="RPtn.tn.Сургут_Лангепас">#REF!</definedName>
    <definedName name="RPtn.tn.Сухой_газ_25_10">#REF!</definedName>
    <definedName name="RPtn.tn.Сырье_вяз.дор.бит.">#REF!</definedName>
    <definedName name="RPtn.tn.ТНЭП_16__М_100___">#REF!</definedName>
    <definedName name="RPtn.tn.ТНЭП_16__рекой___">#REF!</definedName>
    <definedName name="RPtn.tn.ТНЭП_8__М_40___">#REF!</definedName>
    <definedName name="RPtn.tn.Толуол">#REF!</definedName>
    <definedName name="RPtn.tn.Топливо_на_соб.нужды__">#REF!</definedName>
    <definedName name="RPtn.tn.Топливо_судовое_м.в._S_0.2">#REF!</definedName>
    <definedName name="RPtn.tn.ТП_22с">#REF!</definedName>
    <definedName name="RPtn.tn.ТП_30">#REF!</definedName>
    <definedName name="RPtn.tn.ТП_46">#REF!</definedName>
    <definedName name="RPtn.tn.фетерол">#REF!</definedName>
    <definedName name="RPtn.tn.ХАЙТЕК_60_60_им_">#REF!</definedName>
    <definedName name="RPtn.tn.ХАЙТЕК_623_им_">#REF!</definedName>
    <definedName name="RPtn.tn.ХАЙТЕК_646_им_">#REF!</definedName>
    <definedName name="RPtn.tn.ХАЙТЕК_9360_им_">#REF!</definedName>
    <definedName name="RPtn.tn.ХАЙТЕК_9420_им_">#REF!</definedName>
    <definedName name="RPtn.tn.ХАЙТЕК_E609_им_">#REF!</definedName>
    <definedName name="RPtn.tn.ХАЙТЕК_Е320_им_">#REF!</definedName>
    <definedName name="RPtn.tn.Холмогорская_">#REF!</definedName>
    <definedName name="RPtn.tn.ШЕЛВИС_50_5__им_">#REF!</definedName>
    <definedName name="RPtn.tn.Эфирная_головка">#REF!</definedName>
    <definedName name="RR" hidden="1">{"'Grafik Kontrol'!$A$1:$J$8"}</definedName>
    <definedName name="rrr" hidden="1">{#N/A,#N/A,FALSE,"Aging Summary";#N/A,#N/A,FALSE,"Ratio Analysis";#N/A,#N/A,FALSE,"Test 120 Day Accts";#N/A,#N/A,FALSE,"Tickmarks"}</definedName>
    <definedName name="rrrrr" hidden="1">{"NWN_Q1810",#N/A,FALSE,"Q1810_1.V";"NWN_Q1412",#N/A,FALSE,"Q1412_1"}</definedName>
    <definedName name="RS">#REF!</definedName>
    <definedName name="rstyud" hidden="1">{"assets",#N/A,FALSE,"historicBS";"liab",#N/A,FALSE,"historicBS";"is",#N/A,FALSE,"historicIS";"ratios",#N/A,FALSE,"ratios"}</definedName>
    <definedName name="rt" hidden="1">{#N/A,#N/A,FALSE,"Aging Summary";#N/A,#N/A,FALSE,"Ratio Analysis";#N/A,#N/A,FALSE,"Test 120 Day Accts";#N/A,#N/A,FALSE,"Tickmarks"}</definedName>
    <definedName name="rtertuut">[0]!rtertuut</definedName>
    <definedName name="rth56uh56ju" hidden="1">{"glc1",#N/A,FALSE,"GLC";"glc2",#N/A,FALSE,"GLC";"glc3",#N/A,FALSE,"GLC";"glc4",#N/A,FALSE,"GLC";"glc5",#N/A,FALSE,"GLC"}</definedName>
    <definedName name="rtherjhtr">[0]!rtherjhtr</definedName>
    <definedName name="rthetjty">[0]!rthetjty</definedName>
    <definedName name="rthjerthe">[0]!rthjerthe</definedName>
    <definedName name="rthutuet">[0]!rthutuet</definedName>
    <definedName name="rtjutyki">[0]!rtjutyki</definedName>
    <definedName name="rtrtrt" hidden="1">{"glc1",#N/A,FALSE,"GLC";"glc2",#N/A,FALSE,"GLC";"glc3",#N/A,FALSE,"GLC";"glc4",#N/A,FALSE,"GLC";"glc5",#N/A,FALSE,"GLC"}</definedName>
    <definedName name="rtt" hidden="1">{"Area1",#N/A,FALSE,"OREWACC";"Area2",#N/A,FALSE,"OREWACC"}</definedName>
    <definedName name="rtue5y">[0]!rtue5y</definedName>
    <definedName name="rtuert">[0]!rtuert</definedName>
    <definedName name="rtuety">[0]!rtuety</definedName>
    <definedName name="rtuetyutu">[0]!rtuetyutu</definedName>
    <definedName name="rtueuteu">[0]!rtueuteu</definedName>
    <definedName name="rtuey">[0]!rtuey</definedName>
    <definedName name="rtuhre">[0]!rtuhre</definedName>
    <definedName name="rturjyuty">[0]!rturjyuty</definedName>
    <definedName name="rty" hidden="1">{#N/A,#N/A,FALSE,"Aging Summary";#N/A,#N/A,FALSE,"Ratio Analysis";#N/A,#N/A,FALSE,"Test 120 Day Accts";#N/A,#N/A,FALSE,"Tickmarks"}</definedName>
    <definedName name="rtyert">[0]!rtyert</definedName>
    <definedName name="rtyeruet">[0]!rtyeruet</definedName>
    <definedName name="rtyerujty">[0]!rtyerujty</definedName>
    <definedName name="rtyeturt">[0]!rtyeturt</definedName>
    <definedName name="rtytyru">[0]!rtytyru</definedName>
    <definedName name="ruetutyu">[0]!ruetutyu</definedName>
    <definedName name="RUR">#REF!</definedName>
    <definedName name="rutrutut">[0]!rutrutut</definedName>
    <definedName name="rutryutu">[0]!rutryutu</definedName>
    <definedName name="rutyuty">[0]!rutyuty</definedName>
    <definedName name="RV" hidden="1">{"NWN_Q1810",#N/A,FALSE,"Q1810_1.V";"NWN_Q1412",#N/A,FALSE,"Q1412_1"}</definedName>
    <definedName name="rvv" hidden="1">{"NWN_Q1810",#N/A,FALSE,"Q1810_1.V";"NWN_Q1412",#N/A,FALSE,"Q1412_1"}</definedName>
    <definedName name="rwn" hidden="1">{"glc1",#N/A,FALSE,"GLC";"glc2",#N/A,FALSE,"GLC";"glc3",#N/A,FALSE,"GLC";"glc4",#N/A,FALSE,"GLC";"glc5",#N/A,FALSE,"GLC"}</definedName>
    <definedName name="ryertt">[0]!ryertt</definedName>
    <definedName name="ryr5yut">[0]!ryr5yut</definedName>
    <definedName name="ryurut">[0]!ryurut</definedName>
    <definedName name="s" hidden="1">{#N/A,#N/A,FALSE,"Aging Summary";#N/A,#N/A,FALSE,"Ratio Analysis";#N/A,#N/A,FALSE,"Test 120 Day Accts";#N/A,#N/A,FALSE,"Tickmarks"}</definedName>
    <definedName name="S10_G3">#REF!</definedName>
    <definedName name="S10_G4">#REF!</definedName>
    <definedName name="S10_G5">#REF!</definedName>
    <definedName name="S10_G6">#REF!</definedName>
    <definedName name="S100_G1">#REF!</definedName>
    <definedName name="S100_G2">#REF!</definedName>
    <definedName name="S100_G3">#REF!</definedName>
    <definedName name="S100_G4">#REF!</definedName>
    <definedName name="S100_G5">#REF!</definedName>
    <definedName name="S100_G6">#REF!</definedName>
    <definedName name="S110_G1">#REF!</definedName>
    <definedName name="S110_G2">#REF!</definedName>
    <definedName name="S110_G3">#REF!</definedName>
    <definedName name="S110_G4">#REF!</definedName>
    <definedName name="S110_G5">#REF!</definedName>
    <definedName name="S110_G6">#REF!</definedName>
    <definedName name="S120_G1">#REF!</definedName>
    <definedName name="S120_G2">#REF!</definedName>
    <definedName name="S120_G3">#REF!</definedName>
    <definedName name="S120_G4">#REF!</definedName>
    <definedName name="S120_G5">#REF!</definedName>
    <definedName name="S120_G6">#REF!</definedName>
    <definedName name="S130_G1">#REF!</definedName>
    <definedName name="S130_G2">#REF!</definedName>
    <definedName name="S130_G3">#REF!</definedName>
    <definedName name="S130_G4">#REF!</definedName>
    <definedName name="S130_G5">#REF!</definedName>
    <definedName name="S130_G6">#REF!</definedName>
    <definedName name="S140_G1">#REF!</definedName>
    <definedName name="S140_G2">#REF!</definedName>
    <definedName name="S140_G3">#REF!</definedName>
    <definedName name="S140_G4">#REF!</definedName>
    <definedName name="S140_G5">#REF!</definedName>
    <definedName name="S140_G6">#REF!</definedName>
    <definedName name="S150_G1">#REF!</definedName>
    <definedName name="S150_G2">#REF!</definedName>
    <definedName name="S150_G3">#REF!</definedName>
    <definedName name="S150_G4">#REF!</definedName>
    <definedName name="S150_G5">#REF!</definedName>
    <definedName name="S150_G6">#REF!</definedName>
    <definedName name="S160_G1">#REF!</definedName>
    <definedName name="S160_G2">#REF!</definedName>
    <definedName name="S160_G3">#REF!</definedName>
    <definedName name="S160_G4">#REF!</definedName>
    <definedName name="S160_G5">#REF!</definedName>
    <definedName name="S160_G6">#REF!</definedName>
    <definedName name="S170_G1">#REF!</definedName>
    <definedName name="S170_G2">#REF!</definedName>
    <definedName name="S170_G3">#REF!</definedName>
    <definedName name="S170_G4">#REF!</definedName>
    <definedName name="S170_G5">#REF!</definedName>
    <definedName name="S170_G6">#REF!</definedName>
    <definedName name="S180_G1">#REF!</definedName>
    <definedName name="S180_G2">#REF!</definedName>
    <definedName name="S180_G3">#REF!</definedName>
    <definedName name="S180_G4">#REF!</definedName>
    <definedName name="S180_G5">#REF!</definedName>
    <definedName name="S180_G6">#REF!</definedName>
    <definedName name="S190_G1">#REF!</definedName>
    <definedName name="S190_G2">#REF!</definedName>
    <definedName name="S190_G3">#REF!</definedName>
    <definedName name="S190_G4">#REF!</definedName>
    <definedName name="S190_G5">#REF!</definedName>
    <definedName name="S190_G6">#REF!</definedName>
    <definedName name="S20_G1">#REF!</definedName>
    <definedName name="S20_G2">#REF!</definedName>
    <definedName name="S20_G3">#REF!</definedName>
    <definedName name="S20_G4">#REF!</definedName>
    <definedName name="S20_G5">#REF!</definedName>
    <definedName name="S20_G6">#REF!</definedName>
    <definedName name="S200_G1">#REF!</definedName>
    <definedName name="S200_G2">#REF!</definedName>
    <definedName name="S200_G3">#REF!</definedName>
    <definedName name="S200_G4">#REF!</definedName>
    <definedName name="S200_G5">#REF!</definedName>
    <definedName name="S200_G6">#REF!</definedName>
    <definedName name="S210_G1">#REF!</definedName>
    <definedName name="S210_G2">#REF!</definedName>
    <definedName name="S210_G3">#REF!</definedName>
    <definedName name="S210_G4">#REF!</definedName>
    <definedName name="S210_G5">#REF!</definedName>
    <definedName name="S210_G6">#REF!</definedName>
    <definedName name="S220_G1">#REF!</definedName>
    <definedName name="S220_G2">#REF!</definedName>
    <definedName name="S220_G3">#REF!</definedName>
    <definedName name="S220_G4">#REF!</definedName>
    <definedName name="S220_G5">#REF!</definedName>
    <definedName name="S220_G6">#REF!</definedName>
    <definedName name="S230_G1">#REF!</definedName>
    <definedName name="S230_G2">#REF!</definedName>
    <definedName name="S230_G3">#REF!</definedName>
    <definedName name="S230_G4">#REF!</definedName>
    <definedName name="S230_G5">#REF!</definedName>
    <definedName name="S230_G6">#REF!</definedName>
    <definedName name="S240_G1">#REF!</definedName>
    <definedName name="S240_G2">#REF!</definedName>
    <definedName name="S240_G3">#REF!</definedName>
    <definedName name="S240_G4">#REF!</definedName>
    <definedName name="S240_G5">#REF!</definedName>
    <definedName name="S240_G6">#REF!</definedName>
    <definedName name="S250_G1">#REF!</definedName>
    <definedName name="S250_G2">#REF!</definedName>
    <definedName name="S250_G3">#REF!</definedName>
    <definedName name="S250_G4">#REF!</definedName>
    <definedName name="S250_G5">#REF!</definedName>
    <definedName name="S250_G6">#REF!</definedName>
    <definedName name="S260_G1">#REF!</definedName>
    <definedName name="S260_G2">#REF!</definedName>
    <definedName name="S260_G3">#REF!</definedName>
    <definedName name="S260_G4">#REF!</definedName>
    <definedName name="S260_G5">#REF!</definedName>
    <definedName name="S260_G6">#REF!</definedName>
    <definedName name="S270_G1">#REF!</definedName>
    <definedName name="S270_G2">#REF!</definedName>
    <definedName name="S270_G3">#REF!</definedName>
    <definedName name="S270_G4">#REF!</definedName>
    <definedName name="S270_G5">#REF!</definedName>
    <definedName name="S270_G6">#REF!</definedName>
    <definedName name="S280_G1">#REF!</definedName>
    <definedName name="S280_G2">#REF!</definedName>
    <definedName name="S280_G3">#REF!</definedName>
    <definedName name="S280_G4">#REF!</definedName>
    <definedName name="S280_G5">#REF!</definedName>
    <definedName name="S280_G6">#REF!</definedName>
    <definedName name="S290_G1">#REF!</definedName>
    <definedName name="S290_G2">#REF!</definedName>
    <definedName name="S290_G3">#REF!</definedName>
    <definedName name="S290_G4">#REF!</definedName>
    <definedName name="S290_G5">#REF!</definedName>
    <definedName name="S290_G6">#REF!</definedName>
    <definedName name="S30_G1">#REF!</definedName>
    <definedName name="S30_G2">#REF!</definedName>
    <definedName name="S30_G3">#REF!</definedName>
    <definedName name="S30_G4">#REF!</definedName>
    <definedName name="S30_G5">#REF!</definedName>
    <definedName name="S30_G6">#REF!</definedName>
    <definedName name="S300_G1">#REF!</definedName>
    <definedName name="S300_G2">#REF!</definedName>
    <definedName name="S300_G3">#REF!</definedName>
    <definedName name="S300_G4">#REF!</definedName>
    <definedName name="S300_G5">#REF!</definedName>
    <definedName name="S300_G6">#REF!</definedName>
    <definedName name="S310_G1">#REF!</definedName>
    <definedName name="S310_G2">#REF!</definedName>
    <definedName name="S310_G3">#REF!</definedName>
    <definedName name="S310_G4">#REF!</definedName>
    <definedName name="S310_G5">#REF!</definedName>
    <definedName name="S310_G6">#REF!</definedName>
    <definedName name="S320_G1">#REF!</definedName>
    <definedName name="S320_G2">#REF!</definedName>
    <definedName name="S320_G3">#REF!</definedName>
    <definedName name="S320_G4">#REF!</definedName>
    <definedName name="S320_G5">#REF!</definedName>
    <definedName name="S320_G6">#REF!</definedName>
    <definedName name="S330_G1">#REF!</definedName>
    <definedName name="S330_G2">#REF!</definedName>
    <definedName name="S330_G3">#REF!</definedName>
    <definedName name="S330_G4">#REF!</definedName>
    <definedName name="S330_G5">#REF!</definedName>
    <definedName name="S330_G6">#REF!</definedName>
    <definedName name="S340_G1">#REF!</definedName>
    <definedName name="S340_G2">#REF!</definedName>
    <definedName name="S340_G3">#REF!</definedName>
    <definedName name="S340_G4">#REF!</definedName>
    <definedName name="S340_G5">#REF!</definedName>
    <definedName name="S340_G6">#REF!</definedName>
    <definedName name="S350_G1">#REF!</definedName>
    <definedName name="S350_G2">#REF!</definedName>
    <definedName name="S350_G3">#REF!</definedName>
    <definedName name="S350_G4">#REF!</definedName>
    <definedName name="S350_G5">#REF!</definedName>
    <definedName name="S350_G6">#REF!</definedName>
    <definedName name="S360_G1">#REF!</definedName>
    <definedName name="S360_G2">#REF!</definedName>
    <definedName name="S360_G3">#REF!</definedName>
    <definedName name="S360_G4">#REF!</definedName>
    <definedName name="S360_G5">#REF!</definedName>
    <definedName name="S360_G6">#REF!</definedName>
    <definedName name="S370_G1">#REF!</definedName>
    <definedName name="S370_G2">#REF!</definedName>
    <definedName name="S370_G3">#REF!</definedName>
    <definedName name="S370_G4">#REF!</definedName>
    <definedName name="S370_G5">#REF!</definedName>
    <definedName name="S370_G6">#REF!</definedName>
    <definedName name="S371_G1">#REF!</definedName>
    <definedName name="S371_G2">#REF!</definedName>
    <definedName name="S371_G3">#REF!</definedName>
    <definedName name="S371_G4">#REF!</definedName>
    <definedName name="S371_G5">#REF!</definedName>
    <definedName name="S371_G6">#REF!</definedName>
    <definedName name="S372_G1">#REF!</definedName>
    <definedName name="S372_G2">#REF!</definedName>
    <definedName name="S372_G3">#REF!</definedName>
    <definedName name="S372_G4">#REF!</definedName>
    <definedName name="S372_G5">#REF!</definedName>
    <definedName name="S372_G6">#REF!</definedName>
    <definedName name="S373_G1">#REF!</definedName>
    <definedName name="S373_G2">#REF!</definedName>
    <definedName name="S373_G3">#REF!</definedName>
    <definedName name="S373_G4">#REF!</definedName>
    <definedName name="S373_G5">#REF!</definedName>
    <definedName name="S373_G6">#REF!</definedName>
    <definedName name="S380_G1">#REF!</definedName>
    <definedName name="S380_G2">#REF!</definedName>
    <definedName name="S380_G3">#REF!</definedName>
    <definedName name="S380_G4">#REF!</definedName>
    <definedName name="S380_G5">#REF!</definedName>
    <definedName name="S380_G6">#REF!</definedName>
    <definedName name="S390_G1">#REF!</definedName>
    <definedName name="S390_G2">#REF!</definedName>
    <definedName name="S390_G3">#REF!</definedName>
    <definedName name="S390_G4">#REF!</definedName>
    <definedName name="S390_G5">#REF!</definedName>
    <definedName name="S390_G6">#REF!</definedName>
    <definedName name="S40_G1">#REF!</definedName>
    <definedName name="S40_G2">#REF!</definedName>
    <definedName name="S40_G3">#REF!</definedName>
    <definedName name="S40_G4">#REF!</definedName>
    <definedName name="S40_G5">#REF!</definedName>
    <definedName name="S40_G6">#REF!</definedName>
    <definedName name="S400_G1">#REF!</definedName>
    <definedName name="S400_G2">#REF!</definedName>
    <definedName name="S400_G3">#REF!</definedName>
    <definedName name="S400_G4">#REF!</definedName>
    <definedName name="S400_G5">#REF!</definedName>
    <definedName name="S400_G6">#REF!</definedName>
    <definedName name="S410_G1">#REF!</definedName>
    <definedName name="S410_G2">#REF!</definedName>
    <definedName name="S410_G3">#REF!</definedName>
    <definedName name="S410_G4">#REF!</definedName>
    <definedName name="S410_G5">#REF!</definedName>
    <definedName name="S410_G6">#REF!</definedName>
    <definedName name="S420_G1">#REF!</definedName>
    <definedName name="S420_G2">#REF!</definedName>
    <definedName name="S420_G3">#REF!</definedName>
    <definedName name="S420_G4">#REF!</definedName>
    <definedName name="S420_G5">#REF!</definedName>
    <definedName name="S420_G6">#REF!</definedName>
    <definedName name="S430_G1">#REF!</definedName>
    <definedName name="S430_G2">#REF!</definedName>
    <definedName name="S430_G3">#REF!</definedName>
    <definedName name="S430_G4">#REF!</definedName>
    <definedName name="S430_G5">#REF!</definedName>
    <definedName name="S430_G6">#REF!</definedName>
    <definedName name="S440_G1">#REF!</definedName>
    <definedName name="S440_G2">#REF!</definedName>
    <definedName name="S440_G3">#REF!</definedName>
    <definedName name="S440_G4">#REF!</definedName>
    <definedName name="S440_G5">#REF!</definedName>
    <definedName name="S440_G6">#REF!</definedName>
    <definedName name="S450_G1">#REF!</definedName>
    <definedName name="S450_G2">#REF!</definedName>
    <definedName name="S450_G3">#REF!</definedName>
    <definedName name="S450_G4">#REF!</definedName>
    <definedName name="S450_G5">#REF!</definedName>
    <definedName name="S450_G6">#REF!</definedName>
    <definedName name="S460_G1">#REF!</definedName>
    <definedName name="S460_G2">#REF!</definedName>
    <definedName name="S460_G3">#REF!</definedName>
    <definedName name="S460_G4">#REF!</definedName>
    <definedName name="S460_G5">#REF!</definedName>
    <definedName name="S460_G6">#REF!</definedName>
    <definedName name="S470_G1">#REF!</definedName>
    <definedName name="S470_G2">#REF!</definedName>
    <definedName name="S470_G3">#REF!</definedName>
    <definedName name="S470_G4">#REF!</definedName>
    <definedName name="S470_G5">#REF!</definedName>
    <definedName name="S470_G6">#REF!</definedName>
    <definedName name="S480_G1">#REF!</definedName>
    <definedName name="S480_G2">#REF!</definedName>
    <definedName name="S480_G3">#REF!</definedName>
    <definedName name="S480_G4">#REF!</definedName>
    <definedName name="S480_G5">#REF!</definedName>
    <definedName name="S480_G6">#REF!</definedName>
    <definedName name="S490_G1">#REF!</definedName>
    <definedName name="S490_G2">#REF!</definedName>
    <definedName name="S490_G3">#REF!</definedName>
    <definedName name="S490_G4">#REF!</definedName>
    <definedName name="S490_G5">#REF!</definedName>
    <definedName name="S490_G6">#REF!</definedName>
    <definedName name="S50_G1">#REF!</definedName>
    <definedName name="S50_G2">#REF!</definedName>
    <definedName name="S50_G3">#REF!</definedName>
    <definedName name="S50_G4">#REF!</definedName>
    <definedName name="S50_G5">#REF!</definedName>
    <definedName name="S50_G6">#REF!</definedName>
    <definedName name="S500_G1">#REF!</definedName>
    <definedName name="S500_G2">#REF!</definedName>
    <definedName name="S500_G3">#REF!</definedName>
    <definedName name="S500_G4">#REF!</definedName>
    <definedName name="S500_G5">#REF!</definedName>
    <definedName name="S500_G6">#REF!</definedName>
    <definedName name="S510_G1">#REF!</definedName>
    <definedName name="S510_G2">#REF!</definedName>
    <definedName name="S510_G3">#REF!</definedName>
    <definedName name="S510_G4">#REF!</definedName>
    <definedName name="S510_G5">#REF!</definedName>
    <definedName name="S510_G6">#REF!</definedName>
    <definedName name="S520_G1">#REF!</definedName>
    <definedName name="S520_G2">#REF!</definedName>
    <definedName name="S520_G3">#REF!</definedName>
    <definedName name="S520_G4">#REF!</definedName>
    <definedName name="S520_G5">#REF!</definedName>
    <definedName name="S520_G6">#REF!</definedName>
    <definedName name="S530_G1">#REF!</definedName>
    <definedName name="S530_G2">#REF!</definedName>
    <definedName name="S530_G3">#REF!</definedName>
    <definedName name="S530_G4">#REF!</definedName>
    <definedName name="S530_G5">#REF!</definedName>
    <definedName name="S530_G6">#REF!</definedName>
    <definedName name="S540_G1">#REF!</definedName>
    <definedName name="S540_G2">#REF!</definedName>
    <definedName name="S540_G3">#REF!</definedName>
    <definedName name="S540_G4">#REF!</definedName>
    <definedName name="S540_G5">#REF!</definedName>
    <definedName name="S540_G6">#REF!</definedName>
    <definedName name="S550_G1">#REF!</definedName>
    <definedName name="S550_G2">#REF!</definedName>
    <definedName name="S550_G3">#REF!</definedName>
    <definedName name="S550_G4">#REF!</definedName>
    <definedName name="S550_G5">#REF!</definedName>
    <definedName name="S550_G6">#REF!</definedName>
    <definedName name="S560_G1">#REF!</definedName>
    <definedName name="S560_G2">#REF!</definedName>
    <definedName name="S560_G3">#REF!</definedName>
    <definedName name="S560_G4">#REF!</definedName>
    <definedName name="S560_G5">#REF!</definedName>
    <definedName name="S560_G6">#REF!</definedName>
    <definedName name="S570_G1">#REF!</definedName>
    <definedName name="S570_G2">#REF!</definedName>
    <definedName name="S570_G3">#REF!</definedName>
    <definedName name="S570_G4">#REF!</definedName>
    <definedName name="S570_G5">#REF!</definedName>
    <definedName name="S570_G6">#REF!</definedName>
    <definedName name="S580_G1">#REF!</definedName>
    <definedName name="S580_G2">#REF!</definedName>
    <definedName name="S580_G3">#REF!</definedName>
    <definedName name="S580_G4">#REF!</definedName>
    <definedName name="S580_G5">#REF!</definedName>
    <definedName name="S580_G6">#REF!</definedName>
    <definedName name="S590_G1">#REF!</definedName>
    <definedName name="S590_G2">#REF!</definedName>
    <definedName name="S590_G3">#REF!</definedName>
    <definedName name="S590_G4">#REF!</definedName>
    <definedName name="S590_G5">#REF!</definedName>
    <definedName name="S590_G6">#REF!</definedName>
    <definedName name="S60_G1">#REF!</definedName>
    <definedName name="S60_G2">#REF!</definedName>
    <definedName name="S60_G3">#REF!</definedName>
    <definedName name="S60_G4">#REF!</definedName>
    <definedName name="S60_G5">#REF!</definedName>
    <definedName name="S60_G6">#REF!</definedName>
    <definedName name="S600_G1">#REF!</definedName>
    <definedName name="S600_G2">#REF!</definedName>
    <definedName name="S600_G3">#REF!</definedName>
    <definedName name="S600_G4">#REF!</definedName>
    <definedName name="S600_G5">#REF!</definedName>
    <definedName name="S600_G6">#REF!</definedName>
    <definedName name="S610_G1">#REF!</definedName>
    <definedName name="S610_G2">#REF!</definedName>
    <definedName name="S610_G3">#REF!</definedName>
    <definedName name="S610_G4">#REF!</definedName>
    <definedName name="S610_G5">#REF!</definedName>
    <definedName name="S610_G6">#REF!</definedName>
    <definedName name="S620_G1">#REF!</definedName>
    <definedName name="S620_G2">#REF!</definedName>
    <definedName name="S620_G3">#REF!</definedName>
    <definedName name="S620_G4">#REF!</definedName>
    <definedName name="S620_G5">#REF!</definedName>
    <definedName name="S620_G6">#REF!</definedName>
    <definedName name="S630_G1">#REF!</definedName>
    <definedName name="S630_G2">#REF!</definedName>
    <definedName name="S630_G3">#REF!</definedName>
    <definedName name="S630_G4">#REF!</definedName>
    <definedName name="S630_G5">#REF!</definedName>
    <definedName name="S630_G6">#REF!</definedName>
    <definedName name="S640_G1">#REF!</definedName>
    <definedName name="S640_G2">#REF!</definedName>
    <definedName name="S640_G3">#REF!</definedName>
    <definedName name="S640_G4">#REF!</definedName>
    <definedName name="S640_G5">#REF!</definedName>
    <definedName name="S640_G6">#REF!</definedName>
    <definedName name="S65_G1">#REF!</definedName>
    <definedName name="S65_G2">#REF!</definedName>
    <definedName name="S65_G3">#REF!</definedName>
    <definedName name="S65_G4">#REF!</definedName>
    <definedName name="S65_G5">#REF!</definedName>
    <definedName name="S65_G6">#REF!</definedName>
    <definedName name="S650_G1">#REF!</definedName>
    <definedName name="S650_G2">#REF!</definedName>
    <definedName name="S650_G3">#REF!</definedName>
    <definedName name="S650_G4">#REF!</definedName>
    <definedName name="S650_G5">#REF!</definedName>
    <definedName name="S650_G6">#REF!</definedName>
    <definedName name="S660_G1">#REF!</definedName>
    <definedName name="S660_G2">#REF!</definedName>
    <definedName name="S660_G3">#REF!</definedName>
    <definedName name="S660_G4">#REF!</definedName>
    <definedName name="S660_G5">#REF!</definedName>
    <definedName name="S660_G6">#REF!</definedName>
    <definedName name="S670_G1">#REF!</definedName>
    <definedName name="S670_G2">#REF!</definedName>
    <definedName name="S670_G3">#REF!</definedName>
    <definedName name="S670_G4">#REF!</definedName>
    <definedName name="S670_G5">#REF!</definedName>
    <definedName name="S670_G6">#REF!</definedName>
    <definedName name="S680_G1">#REF!</definedName>
    <definedName name="S680_G2">#REF!</definedName>
    <definedName name="S680_G3">#REF!</definedName>
    <definedName name="S680_G4">#REF!</definedName>
    <definedName name="S680_G5">#REF!</definedName>
    <definedName name="S680_G6">#REF!</definedName>
    <definedName name="S690_G1">#REF!</definedName>
    <definedName name="S690_G2">#REF!</definedName>
    <definedName name="S690_G3">#REF!</definedName>
    <definedName name="S690_G4">#REF!</definedName>
    <definedName name="S690_G5">#REF!</definedName>
    <definedName name="S690_G6">#REF!</definedName>
    <definedName name="S70_G1">#REF!</definedName>
    <definedName name="S70_G2">#REF!</definedName>
    <definedName name="S70_G3">#REF!</definedName>
    <definedName name="S70_G4">#REF!</definedName>
    <definedName name="S70_G5">#REF!</definedName>
    <definedName name="S70_G6">#REF!</definedName>
    <definedName name="S700_G1">#REF!</definedName>
    <definedName name="S700_G2">#REF!</definedName>
    <definedName name="S700_G3">#REF!</definedName>
    <definedName name="S700_G4">#REF!</definedName>
    <definedName name="S700_G5">#REF!</definedName>
    <definedName name="S700_G6">#REF!</definedName>
    <definedName name="S710_G1">#REF!</definedName>
    <definedName name="S710_G2">#REF!</definedName>
    <definedName name="S710_G3">#REF!</definedName>
    <definedName name="S710_G4">#REF!</definedName>
    <definedName name="S710_G5">#REF!</definedName>
    <definedName name="S710_G6">#REF!</definedName>
    <definedName name="S720_G1">#REF!</definedName>
    <definedName name="S720_G2">#REF!</definedName>
    <definedName name="S720_G3">#REF!</definedName>
    <definedName name="S720_G4">#REF!</definedName>
    <definedName name="S720_G5">#REF!</definedName>
    <definedName name="S720_G6">#REF!</definedName>
    <definedName name="S730_G1">#REF!</definedName>
    <definedName name="S730_G2">#REF!</definedName>
    <definedName name="S730_G3">#REF!</definedName>
    <definedName name="S730_G4">#REF!</definedName>
    <definedName name="S730_G5">#REF!</definedName>
    <definedName name="S730_G6">#REF!</definedName>
    <definedName name="S740_G1">#REF!</definedName>
    <definedName name="S740_G2">#REF!</definedName>
    <definedName name="S740_G3">#REF!</definedName>
    <definedName name="S740_G4">#REF!</definedName>
    <definedName name="S740_G5">#REF!</definedName>
    <definedName name="S740_G6">#REF!</definedName>
    <definedName name="S750_G1">#REF!</definedName>
    <definedName name="S750_G2">#REF!</definedName>
    <definedName name="S750_G3">#REF!</definedName>
    <definedName name="S750_G4">#REF!</definedName>
    <definedName name="S750_G5">#REF!</definedName>
    <definedName name="S750_G6">#REF!</definedName>
    <definedName name="S760_G1">#REF!</definedName>
    <definedName name="S760_G2">#REF!</definedName>
    <definedName name="S760_G3">#REF!</definedName>
    <definedName name="S760_G4">#REF!</definedName>
    <definedName name="S760_G5">#REF!</definedName>
    <definedName name="S760_G6">#REF!</definedName>
    <definedName name="S770_G1">#REF!</definedName>
    <definedName name="S770_G2">#REF!</definedName>
    <definedName name="S770_G3">#REF!</definedName>
    <definedName name="S770_G4">#REF!</definedName>
    <definedName name="S770_G5">#REF!</definedName>
    <definedName name="S770_G6">#REF!</definedName>
    <definedName name="S780_G1">#REF!</definedName>
    <definedName name="S780_G2">#REF!</definedName>
    <definedName name="S780_G3">#REF!</definedName>
    <definedName name="S780_G4">#REF!</definedName>
    <definedName name="S780_G5">#REF!</definedName>
    <definedName name="S780_G6">#REF!</definedName>
    <definedName name="S790_G1">#REF!</definedName>
    <definedName name="S790_G2">#REF!</definedName>
    <definedName name="S790_G3">#REF!</definedName>
    <definedName name="S790_G4">#REF!</definedName>
    <definedName name="S790_G5">#REF!</definedName>
    <definedName name="S790_G6">#REF!</definedName>
    <definedName name="S80_G1">#REF!</definedName>
    <definedName name="S80_G2">#REF!</definedName>
    <definedName name="S80_G3">#REF!</definedName>
    <definedName name="S80_G4">#REF!</definedName>
    <definedName name="S80_G5">#REF!</definedName>
    <definedName name="S80_G6">#REF!</definedName>
    <definedName name="S800_G1">#REF!</definedName>
    <definedName name="S800_G2">#REF!</definedName>
    <definedName name="S800_G3">#REF!</definedName>
    <definedName name="S800_G4">#REF!</definedName>
    <definedName name="S800_G5">#REF!</definedName>
    <definedName name="S800_G6">#REF!</definedName>
    <definedName name="S810_G1">#REF!</definedName>
    <definedName name="S810_G2">#REF!</definedName>
    <definedName name="S810_G3">#REF!</definedName>
    <definedName name="S810_G4">#REF!</definedName>
    <definedName name="S810_G5">#REF!</definedName>
    <definedName name="S810_G6">#REF!</definedName>
    <definedName name="S820_G1">#REF!</definedName>
    <definedName name="S820_G2">#REF!</definedName>
    <definedName name="S820_G3">#REF!</definedName>
    <definedName name="S820_G4">#REF!</definedName>
    <definedName name="S820_G5">#REF!</definedName>
    <definedName name="S820_G6">#REF!</definedName>
    <definedName name="S830_G1">#REF!</definedName>
    <definedName name="S830_G2">#REF!</definedName>
    <definedName name="S830_G3">#REF!</definedName>
    <definedName name="S830_G4">#REF!</definedName>
    <definedName name="S830_G5">#REF!</definedName>
    <definedName name="S830_G6">#REF!</definedName>
    <definedName name="S840_G1">#REF!</definedName>
    <definedName name="S840_G2">#REF!</definedName>
    <definedName name="S840_G3">#REF!</definedName>
    <definedName name="S840_G4">#REF!</definedName>
    <definedName name="S840_G5">#REF!</definedName>
    <definedName name="S840_G6">#REF!</definedName>
    <definedName name="S90_G1">#REF!</definedName>
    <definedName name="S90_G2">#REF!</definedName>
    <definedName name="S90_G3">#REF!</definedName>
    <definedName name="S90_G4">#REF!</definedName>
    <definedName name="S90_G5">#REF!</definedName>
    <definedName name="S90_G6">#REF!</definedName>
    <definedName name="SAE">[22]Баланс95!#REF!</definedName>
    <definedName name="SALARY_TAX">#REF!</definedName>
    <definedName name="SALES_TAX">#REF!</definedName>
    <definedName name="SAPBEXhrIndnt" hidden="1">"Wide"</definedName>
    <definedName name="SAPBEXrevision" hidden="1">5</definedName>
    <definedName name="SAPBEXsysID" hidden="1">"BCP"</definedName>
    <definedName name="SAPBEXwbID" hidden="1">"3L9OXLS1XBUD6BY0FLXXHQ6NA"</definedName>
    <definedName name="SAPsysID" hidden="1">"708C5W7SBKP804JT78WJ0JNKI"</definedName>
    <definedName name="SAPwbID" hidden="1">"ARS"</definedName>
    <definedName name="Saski" hidden="1">{"COM",#N/A,FALSE,"800 10th"}</definedName>
    <definedName name="savd" hidden="1">{"ÜBER mit FW","THU",FALSE,"HORE KORR!";"ÜBERSICHT",#N/A,FALSE,"BUDGET 1997_98";"ÜBER mit FW",#N/A,FALSE,"IST KUM KORR!!";"ÜBERSICHT",#N/A,FALSE,"PLAN KUM"}</definedName>
    <definedName name="scf" hidden="1">{"COM",#N/A,FALSE,"800 10th"}</definedName>
    <definedName name="sdfh" hidden="1">{"'Sheet1'!$A$1:$G$85"}</definedName>
    <definedName name="sdsss" hidden="1">#REF!</definedName>
    <definedName name="Sebest">#REF!</definedName>
    <definedName name="Selling_exp">[21]Sensitivity!$I$17</definedName>
    <definedName name="SellShift">#REF!</definedName>
    <definedName name="sencount" hidden="1">1</definedName>
    <definedName name="Sergey" hidden="1">{"Area1",#N/A,FALSE,"OREWACC";"Area2",#N/A,FALSE,"OREWACC"}</definedName>
    <definedName name="sfgjyk">[71]DropDownList!$G$1:$G$3</definedName>
    <definedName name="sfh">[71]DropDownList!$D$1:$D$5</definedName>
    <definedName name="sgdhj">[0]!sgdhj</definedName>
    <definedName name="SHARES_NUM">[23]Расчеты!$B$23</definedName>
    <definedName name="shit" hidden="1">{"ÜBER mit FW","THU",FALSE,"HORE KORR!";"ÜBERSICHT",#N/A,FALSE,"BUDGET 1997_98";"ÜBER mit FW",#N/A,FALSE,"IST KUM KORR!!";"ÜBERSICHT",#N/A,FALSE,"PLAN KUM"}</definedName>
    <definedName name="Shops">#REF!</definedName>
    <definedName name="side">'[41]Dropdown list'!$E$2:$E$4</definedName>
    <definedName name="soft2" hidden="1">[19]опт!$A$8:$C$98</definedName>
    <definedName name="solver_adj" hidden="1">'[72]пр-во'!$X$11</definedName>
    <definedName name="solver_cvg" hidden="1">0.0001</definedName>
    <definedName name="solver_drv" hidden="1">1</definedName>
    <definedName name="solver_est" hidden="1">1</definedName>
    <definedName name="solver_itr" hidden="1">100</definedName>
    <definedName name="solver_lhs1" hidden="1">'[72]пр-во'!$Z$14</definedName>
    <definedName name="solver_lhs2" hidden="1">'[72]пр-во'!$X$13</definedName>
    <definedName name="solver_lhs4" hidden="1">#REF!</definedName>
    <definedName name="solver_lhs5" hidden="1">#REF!</definedName>
    <definedName name="solver_lhs6" hidden="1">#REF!</definedName>
    <definedName name="solver_lin" hidden="1">0</definedName>
    <definedName name="solver_neg" hidden="1">2</definedName>
    <definedName name="solver_num" hidden="1">6</definedName>
    <definedName name="solver_nwt" hidden="1">1</definedName>
    <definedName name="solver_opt" hidden="1">#REF!</definedName>
    <definedName name="solver_pre" hidden="1">0.000001</definedName>
    <definedName name="solver_rel1" hidden="1">2</definedName>
    <definedName name="solver_rel2" hidden="1">3</definedName>
    <definedName name="solver_rel3" hidden="1">3</definedName>
    <definedName name="solver_rel4" hidden="1">3</definedName>
    <definedName name="solver_rel5" hidden="1">3</definedName>
    <definedName name="solver_rel6" hidden="1">3</definedName>
    <definedName name="solver_rhs1" hidden="1">3600</definedName>
    <definedName name="solver_rhs2" hidden="1">9770</definedName>
    <definedName name="solver_rhs3" hidden="1">660</definedName>
    <definedName name="solver_rhs4" hidden="1">5320</definedName>
    <definedName name="solver_rhs5" hidden="1">214</definedName>
    <definedName name="solver_rhs6" hidden="1">350</definedName>
    <definedName name="solver_scl" hidden="1">0</definedName>
    <definedName name="solver_sho" hidden="1">0</definedName>
    <definedName name="solver_tim" hidden="1">200</definedName>
    <definedName name="solver_tmp" hidden="1">350</definedName>
    <definedName name="solver_tol" hidden="1">0.05</definedName>
    <definedName name="solver_typ" hidden="1">3</definedName>
    <definedName name="solver_val" hidden="1">74233</definedName>
    <definedName name="solver11" hidden="1">'[73]пр-во'!$AA$14</definedName>
    <definedName name="sort" hidden="1">#REF!</definedName>
    <definedName name="spent1" hidden="1">{#N/A,#N/A,FALSE,"Aging Summary";#N/A,#N/A,FALSE,"Ratio Analysis";#N/A,#N/A,FALSE,"Test 120 Day Accts";#N/A,#N/A,FALSE,"Tickmarks"}</definedName>
    <definedName name="SSS">#REF!</definedName>
    <definedName name="ST">#REF!</definedName>
    <definedName name="ST_BAL">#REF!,#REF!,#REF!,#REF!,#REF!,#REF!,#REF!,#REF!,#REF!,#REF!,#REF!,#REF!,#REF!,#REF!,#REF!,#REF!,#REF!,#REF!</definedName>
    <definedName name="Standard_Daily_Hours">#N/A</definedName>
    <definedName name="Std_Hrs">[0]!Weekday_count*[0]!Standard_Daily_Hours</definedName>
    <definedName name="STOCKS_PERIOD">#REF!</definedName>
    <definedName name="stoim_gar">#REF!</definedName>
    <definedName name="stoim_gar1">#REF!</definedName>
    <definedName name="STR_NAME">#REF!</definedName>
    <definedName name="SUBJ_RF_CODE">#REF!</definedName>
    <definedName name="submarkets">[74]Sheet2!$A$1:$A$15</definedName>
    <definedName name="summary2" hidden="1">{#N/A,#N/A,FALSE,"Aging Summary";#N/A,#N/A,FALSE,"Ratio Analysis";#N/A,#N/A,FALSE,"Test 120 Day Accts";#N/A,#N/A,FALSE,"Tickmarks"}</definedName>
    <definedName name="SVO">'[75]Стоим._стр-ва'!$C$6</definedName>
    <definedName name="sw" hidden="1">{"'domaće količine'!$K$34:$P$47"}</definedName>
    <definedName name="szh" hidden="1">{"ÜBER mit FW","THU",FALSE,"HORE KORR!";"ÜBERSICHT",#N/A,FALSE,"BUDGET 1997_98";"ÜBER mit FW",#N/A,FALSE,"IST KUM KORR!!";"ÜBERSICHT",#N/A,FALSE,"PLAN KUM"}</definedName>
    <definedName name="t" hidden="1">{"'Grafik Kontrol'!$A$1:$J$8"}</definedName>
    <definedName name="TA">[22]Баланс95!#REF!</definedName>
    <definedName name="TABLE">#REF!</definedName>
    <definedName name="tanya" hidden="1">{#N/A,#N/A,FALSE,"Aging Summary";#N/A,#N/A,FALSE,"Ratio Analysis";#N/A,#N/A,FALSE,"Test 120 Day Accts";#N/A,#N/A,FALSE,"Tickmarks"}</definedName>
    <definedName name="Tax_In">#REF!</definedName>
    <definedName name="Tax_Pr">#REF!</definedName>
    <definedName name="Tax_TO">#REF!</definedName>
    <definedName name="Tax_VA">#REF!</definedName>
    <definedName name="TD">[22]Баланс95!#REF!</definedName>
    <definedName name="Template" hidden="1">#REF!</definedName>
    <definedName name="Terrace">#REF!</definedName>
    <definedName name="tertw" hidden="1">{#N/A,#N/A,FALSE,"Aging Summary";#N/A,#N/A,FALSE,"Ratio Analysis";#N/A,#N/A,FALSE,"Test 120 Day Accts";#N/A,#N/A,FALSE,"Tickmarks"}</definedName>
    <definedName name="test_list">#REF!</definedName>
    <definedName name="test3" hidden="1">{#N/A,#N/A,FALSE,"FA_1";#N/A,#N/A,FALSE,"Dep'n SE";#N/A,#N/A,FALSE,"Dep'n FC"}</definedName>
    <definedName name="TextRefCopyRangeCount" hidden="1">48</definedName>
    <definedName name="TextRefCopyRangeCount_1" hidden="1">247</definedName>
    <definedName name="tfyhjdtj">[0]!tfyhjdtj</definedName>
    <definedName name="th" hidden="1">{#N/A,#N/A,FALSE,"Aging Summary";#N/A,#N/A,FALSE,"Ratio Analysis";#N/A,#N/A,FALSE,"Test 120 Day Accts";#N/A,#N/A,FALSE,"Tickmarks"}</definedName>
    <definedName name="thjytdy">[0]!thjytdy</definedName>
    <definedName name="title">#REF!</definedName>
    <definedName name="tjutjutgjut">[0]!tjutjutgjut</definedName>
    <definedName name="TOTAL_GEXP_ROW">#REF!</definedName>
    <definedName name="treeList" hidden="1">"10000000000000000000000000000000000000000000000000000000000000000000000000000000000000000000000000000000000000000000000000000000000000000000000000000000000000000000000000000000000000000000000000000000"</definedName>
    <definedName name="trertue">[0]!trertue</definedName>
    <definedName name="treuru">[0]!treuru</definedName>
    <definedName name="trrt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TRTRR" hidden="1">{"'Grafik Kontrol'!$A$1:$J$8"}</definedName>
    <definedName name="trujtyjuty">[0]!trujtyjuty</definedName>
    <definedName name="trurtgf" hidden="1">{#N/A,#N/A,FALSE,"Aging Summary";#N/A,#N/A,FALSE,"Ratio Analysis";#N/A,#N/A,FALSE,"Test 120 Day Accts";#N/A,#N/A,FALSE,"Tickmarks"}</definedName>
    <definedName name="trutyit">[0]!trutyit</definedName>
    <definedName name="trutyutey">[0]!trutyutey</definedName>
    <definedName name="tryerturtu">[0]!tryerturtu</definedName>
    <definedName name="tryrutru">[0]!tryrutru</definedName>
    <definedName name="TSR">#REF!</definedName>
    <definedName name="TTT" hidden="1">{"'Grafik Kontrol'!$A$1:$J$8"}</definedName>
    <definedName name="ttttt" hidden="1">{"glc1",#N/A,FALSE,"GLC";"glc2",#N/A,FALSE,"GLC";"glc3",#N/A,FALSE,"GLC";"glc4",#N/A,FALSE,"GLC";"glc5",#N/A,FALSE,"GLC"}</definedName>
    <definedName name="tuerjyut">[0]!tuerjyut</definedName>
    <definedName name="tueru5eru">[0]!tueru5eru</definedName>
    <definedName name="tuetyurty">[0]!tuetyurty</definedName>
    <definedName name="tyiryirty">[0]!tyiryirty</definedName>
    <definedName name="tyjdty">[0]!tyjdty</definedName>
    <definedName name="tyjsdtr">[0]!tyjsdtr</definedName>
    <definedName name="Types">[24]Library!$B$2:$B$21</definedName>
    <definedName name="tyrujtjutgjy">[0]!tyrujtjutgjy</definedName>
    <definedName name="tyryutyju">[0]!tyryutyju</definedName>
    <definedName name="tytdkgt">[0]!tytdkgt</definedName>
    <definedName name="tyutryutu">[0]!tyutryutu</definedName>
    <definedName name="tyutyu">[0]!tyutyu</definedName>
    <definedName name="tyw45y7">[0]!tyw45y7</definedName>
    <definedName name="tyyuiry">[0]!tyyuiry</definedName>
    <definedName name="U" hidden="1">{"'Grafik Kontrol'!$A$1:$J$8"}</definedName>
    <definedName name="UD">#REF!</definedName>
    <definedName name="UGP">#REF!</definedName>
    <definedName name="ujapqkjduc" hidden="1">{"glc1",#N/A,FALSE,"GLC";"glc2",#N/A,FALSE,"GLC";"glc3",#N/A,FALSE,"GLC";"glc4",#N/A,FALSE,"GLC";"glc5",#N/A,FALSE,"GLC"}</definedName>
    <definedName name="ujfhdysysys" hidden="1">{"glc1",#N/A,FALSE,"GLC";"glc2",#N/A,FALSE,"GLC";"glc3",#N/A,FALSE,"GLC";"glc4",#N/A,FALSE,"GLC";"glc5",#N/A,FALSE,"GLC"}</definedName>
    <definedName name="ujghfjughf" hidden="1">{"glc1",#N/A,FALSE,"GLC";"glc2",#N/A,FALSE,"GLC";"glc3",#N/A,FALSE,"GLC";"glc4",#N/A,FALSE,"GLC";"glc5",#N/A,FALSE,"GLC"}</definedName>
    <definedName name="ujhf" hidden="1">{"glc1",#N/A,FALSE,"GLC";"glc2",#N/A,FALSE,"GLC";"glc3",#N/A,FALSE,"GLC";"glc4",#N/A,FALSE,"GLC";"glc5",#N/A,FALSE,"GLC"}</definedName>
    <definedName name="ujhydgf" hidden="1">{"ÜBER mit FW","THU",FALSE,"HORE KORR!";"ÜBERSICHT",#N/A,FALSE,"BUDGET 1997_98";"ÜBER mit FW",#N/A,FALSE,"IST KUM KORR!!";"ÜBERSICHT",#N/A,FALSE,"PLAN KUM"}</definedName>
    <definedName name="ujhythgd" hidden="1">{"glc1",#N/A,FALSE,"GLC";"glc2",#N/A,FALSE,"GLC";"glc3",#N/A,FALSE,"GLC";"glc4",#N/A,FALSE,"GLC";"glc5",#N/A,FALSE,"GLC"}</definedName>
    <definedName name="ujnbhyt" hidden="1">{"glc1",#N/A,FALSE,"GLC";"glc2",#N/A,FALSE,"GLC";"glc3",#N/A,FALSE,"GLC";"glc4",#N/A,FALSE,"GLC";"glc5",#N/A,FALSE,"GLC"}</definedName>
    <definedName name="ujya" hidden="1">{"glc1",#N/A,FALSE,"GLC";"glc2",#N/A,FALSE,"GLC";"glc3",#N/A,FALSE,"GLC";"glc4",#N/A,FALSE,"GLC";"glc5",#N/A,FALSE,"GLC"}</definedName>
    <definedName name="ujyhtgfd" hidden="1">{"glc1",#N/A,FALSE,"GLC";"glc2",#N/A,FALSE,"GLC";"glc3",#N/A,FALSE,"GLC";"glc4",#N/A,FALSE,"GLC";"glc5",#N/A,FALSE,"GLC"}</definedName>
    <definedName name="UNDERGROUND_LEVELS">#REF!</definedName>
    <definedName name="Unit">#REF!</definedName>
    <definedName name="US_">[32]KEY!#REF!</definedName>
    <definedName name="USA">#REF!</definedName>
    <definedName name="USD">#REF!</definedName>
    <definedName name="utyuyrty">[0]!utyuyrty</definedName>
    <definedName name="uu" hidden="1">{#N/A,#N/A,TRUE,"Engineering Dept";#N/A,#N/A,TRUE,"Sales Dept";#N/A,#N/A,TRUE,"Marketing Dept";#N/A,#N/A,TRUE,"Admin Dept"}</definedName>
    <definedName name="uuu" hidden="1">'[73]пр-во'!$Y$14</definedName>
    <definedName name="uuuu">#REF!</definedName>
    <definedName name="UYUY" hidden="1">{"'Grafik Kontrol'!$A$1:$J$8"}</definedName>
    <definedName name="v" hidden="1">{#N/A,#N/A,FALSE,"Aging Summary";#N/A,#N/A,FALSE,"Ratio Analysis";#N/A,#N/A,FALSE,"Test 120 Day Accts";#N/A,#N/A,FALSE,"Tickmarks"}</definedName>
    <definedName name="V_доп.об.">#REF!</definedName>
    <definedName name="V_доп.об._Сумм">#REF!</definedName>
    <definedName name="V_нефти">#REF!</definedName>
    <definedName name="vacancy">#REF!</definedName>
    <definedName name="vat">[69]Предпосылки!$E$123</definedName>
    <definedName name="VAT_REPAY">[23]Расчеты!$B$21</definedName>
    <definedName name="vbn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VChampSR" hidden="1">FALSE</definedName>
    <definedName name="VDossierSR" hidden="1">"DEMOSR.XLS"</definedName>
    <definedName name="vitaly" hidden="1">[6]RSOILBAL!#REF!</definedName>
    <definedName name="vjy" hidden="1">{"glc1",#N/A,FALSE,"GLC";"glc2",#N/A,FALSE,"GLC";"glc3",#N/A,FALSE,"GLC";"glc4",#N/A,FALSE,"GLC";"glc5",#N/A,FALSE,"GLC"}</definedName>
    <definedName name="VNbPerSR" hidden="1">5</definedName>
    <definedName name="VR">#REF!</definedName>
    <definedName name="vur" hidden="1">#REF!</definedName>
    <definedName name="vural" hidden="1">#REF!</definedName>
    <definedName name="vv" hidden="1">{"IASTrail",#N/A,FALSE,"IAS"}</definedName>
    <definedName name="Vдоп_Сдоп">#REF!</definedName>
    <definedName name="Vдоп_Сдоп_Сумм">#REF!</definedName>
    <definedName name="w" hidden="1">{"ÜBER mit FW","THU",FALSE,"HORE KORR!";"ÜBERSICHT",#N/A,FALSE,"BUDGET 1997_98";"ÜBER mit FW",#N/A,FALSE,"IST KUM KORR!!";"ÜBERSICHT",#N/A,FALSE,"PLAN KUM"}</definedName>
    <definedName name="WACC">#REF!</definedName>
    <definedName name="WE" hidden="1">{"'Grafik Kontrol'!$A$1:$J$8"}</definedName>
    <definedName name="Weekday_count">#N/A</definedName>
    <definedName name="wer" hidden="1">{#N/A,#N/A,FALSE,"Aging Summary";#N/A,#N/A,FALSE,"Ratio Analysis";#N/A,#N/A,FALSE,"Test 120 Day Accts";#N/A,#N/A,FALSE,"Tickmarks"}</definedName>
    <definedName name="werhrte">[0]!werhrte</definedName>
    <definedName name="werner" hidden="1">{"DRUCK",#N/A,FALSE,"HOCHRECHNUNG KORR!!!!";"DRUCK",#N/A,FALSE,"BUDGET 1997_98";"DRUCK",#N/A,FALSE,"PL KUM";"DRUCK",#N/A,FALSE,"VJ KUM";"DRUCK",#N/A,FALSE,"IST KUM KORR!!!"}</definedName>
    <definedName name="wert" hidden="1">{"glc1",#N/A,FALSE,"GLC";"glc2",#N/A,FALSE,"GLC";"glc3",#N/A,FALSE,"GLC";"glc4",#N/A,FALSE,"GLC";"glc5",#N/A,FALSE,"GLC"}</definedName>
    <definedName name="werw" hidden="1">{"Area1",#N/A,FALSE,"OREWACC";"Area2",#N/A,FALSE,"OREWACC"}</definedName>
    <definedName name="weyw" hidden="1">#REF!</definedName>
    <definedName name="WFT" hidden="1">{"Area1",#N/A,FALSE,"OREWACC";"Area2",#N/A,FALSE,"OREWACC"}</definedName>
    <definedName name="will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wkrp" hidden="1">{"Area1",#N/A,FALSE,"OREWACC";"Area2",#N/A,FALSE,"OREWACC"}</definedName>
    <definedName name="wqe" hidden="1">#REF!</definedName>
    <definedName name="wreywr" hidden="1">#REF!</definedName>
    <definedName name="wrn" hidden="1">{"glc1",#N/A,FALSE,"GLC";"glc2",#N/A,FALSE,"GLC";"glc3",#N/A,FALSE,"GLC";"glc4",#N/A,FALSE,"GLC";"glc5",#N/A,FALSE,"GLC"}</definedName>
    <definedName name="wrn.1." hidden="1">{#N/A,#N/A,FALSE,"Расчет вспомогательных"}</definedName>
    <definedName name="wrn.10._.Per._.Cent._.Success." hidden="1">{#N/A,"10% Success",FALSE,"Sales Forecast";#N/A,#N/A,FALSE,"Sheet2"}</definedName>
    <definedName name="wrn.100._.Per._.Cent._.Success." hidden="1">{#N/A,"100% Success",TRUE,"Sales Forecast";#N/A,#N/A,TRUE,"Sheet2"}</definedName>
    <definedName name="wrn.30._.Per._.Cent." hidden="1">{#N/A,"30% Success",TRUE,"Sales Forecast";#N/A,#N/A,TRUE,"Sheet2"}</definedName>
    <definedName name="wrn.70._.Per._.Cent._.Success." hidden="1">{#N/A,"70% Success",FALSE,"Sales Forecast";#N/A,#N/A,FALSE,"Sheet2"}</definedName>
    <definedName name="wrn.ABW." hidden="1">{"ÜBERSICHT",#N/A,FALSE,"ABW KUM";"Kostenzoom",#N/A,FALSE,"ABW KUM";"ÜBERSICHT",#N/A,FALSE,"ABW HORE";"Kostenzoom",#N/A,FALSE,"ABW HORE"}</definedName>
    <definedName name="wrn.Aging._.and._.Trend._.Analysis." hidden="1">{#N/A,#N/A,FALSE,"Aging Summary";#N/A,#N/A,FALSE,"Ratio Analysis";#N/A,#N/A,FALSE,"Test 120 Day Accts";#N/A,#N/A,FALSE,"Tickmarks"}</definedName>
    <definedName name="wrn.Aging.and._Trend._.Analysis.2" hidden="1">{#N/A,#N/A,FALSE,"Aging Summary";#N/A,#N/A,FALSE,"Ratio Analysis";#N/A,#N/A,FALSE,"Test 120 Day Accts";#N/A,#N/A,FALSE,"Tickmarks"}</definedName>
    <definedName name="wrn.ALAN.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Sections." hidden="1">{#N/A,#N/A,TRUE,"ExecSummary";#N/A,#N/A,TRUE,"ExecSummaryCosts";#N/A,#N/A,TRUE,"ExecSummaryRent";#N/A,#N/A,TRUE,"ProjDescription";#N/A,#N/A,TRUE,"CostSummary";#N/A,#N/A,TRUE,"Main";#N/A,#N/A,TRUE,"Finance";#N/A,#N/A,TRUE,"EstCashflow";#N/A,#N/A,TRUE,"RevenueCalculation";#N/A,#N/A,TRUE,"InterestCalculation";#N/A,#N/A,TRUE,"COLCalculation";#N/A,#N/A,TRUE,"ExhibitA";#N/A,#N/A,TRUE,"ExhibitB";#N/A,#N/A,TRUE,"CTD";#N/A,#N/A,TRUE,"12YrCashFlow";#N/A,#N/A,TRUE,"IntCalcLink";#N/A,#N/A,TRUE,"NOILink"}</definedName>
    <definedName name="wrn.basicfin." hidden="1">{"assets",#N/A,FALSE,"historicBS";"liab",#N/A,FALSE,"historicBS";"is",#N/A,FALSE,"historicIS";"ratios",#N/A,FALSE,"ratios"}</definedName>
    <definedName name="wrn.basicfin.2" hidden="1">{"assets",#N/A,FALSE,"historicBS";"liab",#N/A,FALSE,"historicBS";"is",#N/A,FALSE,"historicIS";"ratios",#N/A,FALSE,"ratios"}</definedName>
    <definedName name="wrn.beg_italia." hidden="1">{#N/A,#N/A,FALSE,"Recap";#N/A,#N/A,FALSE,"Roma";#N/A,#N/A,FALSE,"Rimini Conad";#N/A,#N/A,FALSE,"Bari cine focus";#N/A,#N/A,FALSE,"Guissano";#N/A,#N/A,FALSE,"Assago";#N/A,#N/A,FALSE,"Bari GS";#N/A,#N/A,FALSE,"Uranio Verone";#N/A,#N/A,FALSE,"Bari LM";#N/A,#N/A,FALSE,"modugno Auchan";#N/A,#N/A,FALSE,"Cagliari";#N/A,#N/A,FALSE,"Firenze";#N/A,#N/A,FALSE,"Fiumicino";#N/A,#N/A,FALSE,"caserta";#N/A,#N/A,FALSE,"Mestre - 2";#N/A,#N/A,FALSE,"Recap_Francs";#N/A,#N/A,FALSE,"Approche traduction"}</definedName>
    <definedName name="wrn.Buildups." hidden="1">{"ACQ",#N/A,FALSE,"ACQUISITIONS";"ACQF",#N/A,FALSE,"ACQUISITIONS";"PF",#N/A,FALSE,"PROYECTOVILA";"PV",#N/A,FALSE,"PROYECTOVILA";"Fee Dev",#N/A,FALSE,"DEVELOPMENT GROWTH";"gd",#N/A,FALSE,"DEVELOPMENT GROWTH"}</definedName>
    <definedName name="wrn.C1000BAS." hidden="1">{#N/A,"BRÅNEMARK",FALSE,"C1000BAS";#N/A,"PROCERA",FALSE,"C1000BAS"}</definedName>
    <definedName name="wrn.Coded._.IAS._.FS." hidden="1">{"IASTrail",#N/A,FALSE,"IAS"}</definedName>
    <definedName name="wrn.COM." hidden="1">{"COM",#N/A,FALSE,"800 10th"}</definedName>
    <definedName name="wrn.COMBINED." hidden="1">{#N/A,#N/A,FALSE,"INPUTS";#N/A,#N/A,FALSE,"PROFORMA BSHEET";#N/A,#N/A,FALSE,"COMBINED";#N/A,#N/A,FALSE,"HIGH YIELD";#N/A,#N/A,FALSE,"COMB_GRAPHS"}</definedName>
    <definedName name="wrn.COMLAWTC." hidden="1">{"Commish",#N/A,FALSE,"LAWTC"}</definedName>
    <definedName name="wrn.Compco._.Only." hidden="1">{"vi1",#N/A,FALSE,"6_30_96";"vi2",#N/A,FALSE,"6_30_96";"vi3",#N/A,FALSE,"6_30_96"}</definedName>
    <definedName name="wrn.DCFEpervier.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epartmentals." hidden="1">{#N/A,#N/A,TRUE,"Engineering Dept";#N/A,#N/A,TRUE,"Sales Dept";#N/A,#N/A,TRUE,"Marketing Dept";#N/A,#N/A,TRUE,"Admin Dept"}</definedName>
    <definedName name="wrn.Departments." hidden="1">{#N/A,#N/A,FALSE,"Engineering Dept";#N/A,#N/A,FALSE,"Sales Dept";#N/A,#N/A,FALSE,"Marketing Dept";#N/A,#N/A,FALSE,"Admin Dept";#N/A,#N/A,FALSE,"Total Operating Expenses"}</definedName>
    <definedName name="wrn.ExecSumms." hidden="1">{#N/A,#N/A,TRUE,"ExecSummary";#N/A,#N/A,TRUE,"ExecSummaryCosts";#N/A,#N/A,TRUE,"ExecSummaryRent"}</definedName>
    <definedName name="wrn.Financials." hidden="1">{#N/A,#N/A,TRUE,"Balance Sheet";#N/A,#N/A,TRUE,"Income Statement";#N/A,#N/A,TRUE,"Statement of Cash Flows";#N/A,#N/A,TRUE,"Key Indicators"}</definedName>
    <definedName name="wrn.Financials_long." hidden="1">{"IS",#N/A,FALSE,"Financials2 (Expanded)";"bsa",#N/A,FALSE,"Financials2 (Expanded)";"BS",#N/A,FALSE,"Financials2 (Expanded)";"CF",#N/A,FALSE,"Financials2 (Expanded)"}</definedName>
    <definedName name="wrn.Fixed._.Assets._.Note._.and._.Depreciation." hidden="1">{#N/A,#N/A,FALSE,"FA_1";#N/A,#N/A,FALSE,"Dep'n SE";#N/A,#N/A,FALSE,"Dep'n FC"}</definedName>
    <definedName name="wrn.full." hidden="1">{"vi1",#N/A,FALSE,"Pagcc";"vi2",#N/A,FALSE,"Pagcc";"vi3",#N/A,FALSE,"Pagcc";"vi4",#N/A,FALSE,"Pagcc";"vi5",#N/A,FALSE,"Pagcc";#N/A,#N/A,FALSE,"Contribution"}</definedName>
    <definedName name="wrn.Full._.IAS._.STATEMENTS.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Monty.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report.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._.TRAIL." hidden="1">{"IAS Mapping",#N/A,FALSE,"RSA_FS";#N/A,#N/A,FALSE,"CHECK!";#N/A,#N/A,FALSE,"Recon";#N/A,#N/A,FALSE,"NMG";#N/A,#N/A,FALSE,"Journals";"AnalRSA",#N/A,FALSE,"PL-Anal";"AnalIAS",#N/A,FALSE,"PL-Anal";#N/A,#N/A,FALSE,"COS"}</definedName>
    <definedName name="wrn.Full._.without._.data.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wrn.glc." hidden="1">{"glcbs",#N/A,FALSE,"GLCBS";"glccsbs",#N/A,FALSE,"GLCCSBS";"glcis",#N/A,FALSE,"GLCIS";"glccsis",#N/A,FALSE,"GLCCSIS";"glcrat1",#N/A,FALSE,"GLC-ratios1"}</definedName>
    <definedName name="wrn.glcpromonte." hidden="1">{"glc1",#N/A,FALSE,"GLC";"glc2",#N/A,FALSE,"GLC";"glc3",#N/A,FALSE,"GLC";"glc4",#N/A,FALSE,"GLC";"glc5",#N/A,FALSE,"GLC"}</definedName>
    <definedName name="wrn.GRAPHS." hidden="1">{#N/A,#N/A,FALSE,"ACQ_GRAPHS";#N/A,#N/A,FALSE,"T_1 GRAPHS";#N/A,#N/A,FALSE,"T_2 GRAPHS";#N/A,#N/A,FALSE,"COMB_GRAPHS"}</definedName>
    <definedName name="wrn.Help." hidden="1">{#N/A,#N/A,TRUE,"MAP";#N/A,#N/A,TRUE,"STEPS";#N/A,#N/A,TRUE,"RULES"}</definedName>
    <definedName name="wrn.Hochrechnung." hidden="1">{"Ergebnis",#N/A,FALSE,"HORE 1997_01ST";"Steuern",#N/A,FALSE,"HORE 1997_01ST"}</definedName>
    <definedName name="wrn.IAS._.BS._.PL._.CF._.and._.Notes." hidden="1">{"IASBS",#N/A,TRUE,"IAS";"IASPL",#N/A,TRUE,"IAS";"IASNotes",#N/A,TRUE,"IAS";"CFDir - expanded",#N/A,TRUE,"CF DIR"}</definedName>
    <definedName name="wrn.IAS._.FS._.ZOOMED._.IN._.Forms.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Mapping." hidden="1">{"IAS Mapping",#N/A,TRUE,"RSA_FS"}</definedName>
    <definedName name="wrn.INDEPS." hidden="1">{"page1",#N/A,FALSE,"TIND_CC1";"page2",#N/A,FALSE,"TIND_CC1";"page3",#N/A,FALSE,"TIND_CC1";"page4",#N/A,FALSE,"TIND_CC1";"page5",#N/A,FALSE,"TIND_CC1"}</definedName>
    <definedName name="wrn.Inflation._.factors._.used." hidden="1">{#N/A,#N/A,FALSE,"Infl_fact"}</definedName>
    <definedName name="wrn.Inputs." hidden="1">{"Inflation-BaseYear",#N/A,FALSE,"Inputs"}</definedName>
    <definedName name="wrn.inputs1" hidden="1">{"Inflation-BaseYear",#N/A,FALSE,"Inputs"}</definedName>
    <definedName name="wrn.KH.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bis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1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10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11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12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13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14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15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16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2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3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4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5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6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7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8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9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b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b.bis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b_1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b_1.bis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r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r_1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r_2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r_3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r_4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r_5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r_6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r_7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rop.bis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rp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new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new.bis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new.Comb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new.Comb.bis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new.Comb_1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new.Comb_1.bis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new.Corp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new.Corp.bis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Manpower.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wrn.Month_Only.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wrn.Normal." hidden="1">{"Sales_Norm",#N/A,FALSE,"Summary SALES";"Ebit_Norm",#N/A,FALSE,"Summary EBIT";"France_Norm",#N/A,FALSE,"France";"Holland_Norm",#N/A,FALSE,"Holland";"Scorex_Norm",#N/A,FALSE,"Scorex";"SAfrica_Norm",#N/A,FALSE,"South Africa";"SEurope_Norm",#N/A,FALSE,"SEurope";"Germany_Norm",#N/A,FALSE,"Germany";"Newmarkets_Norm",#N/A,FALSE,"Newmarkets";"Bureau_Norm",#N/A,FALSE,"Bureau";"HOffice_Norm",#N/A,FALSE,"Hoffice ";"LAmerica_Norm",#N/A,FALSE,"LAmerica";"Asiapac_Norm",#N/A,FALSE,"Asiapacific";"Interest_Norm",#N/A,FALSE,"Interest";"Recharges_Norm",#N/A,FALSE,"Recharges";"Marketing_Norm",#N/A,FALSE,"Marketing";"MinRoyalty_Norm",#N/A,FALSE,"Gua min royalty"}</definedName>
    <definedName name="wrn.NWN_QUOTES." hidden="1">{"NWN_Q1810",#N/A,FALSE,"Q1810_1.V";"NWN_Q1412",#N/A,FALSE,"Q1412_1"}</definedName>
    <definedName name="wrn.opex.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wrn.opex._.latest.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wrn.Output3Column." hidden="1">{"Output-3Column",#N/A,FALSE,"Output"}</definedName>
    <definedName name="wrn.OutputAll." hidden="1">{"Output-All",#N/A,FALSE,"Output"}</definedName>
    <definedName name="wrn.OutputBaseYear." hidden="1">{"Output-BaseYear",#N/A,FALSE,"Output"}</definedName>
    <definedName name="wrn.OutputMin." hidden="1">{"Output-Min",#N/A,FALSE,"Output"}</definedName>
    <definedName name="wrn.OutputPercent." hidden="1">{"Output%",#N/A,FALSE,"Output"}</definedName>
    <definedName name="wrn.Paging._.Compco." hidden="1">{"financials",#N/A,TRUE,"6_30_96";"footnotes",#N/A,TRUE,"6_30_96";"valuation",#N/A,TRUE,"6_30_96"}</definedName>
    <definedName name="wrn.PL._.Analysis." hidden="1">{"AnalRSA",#N/A,TRUE,"PL-Anal";"AnalIAS",#N/A,TRUE,"PL-Anal"}</definedName>
    <definedName name="wrn.print.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wrn.print95and96." hidden="1">{"print95",#N/A,FALSE,"1995E.XLS";"print96",#N/A,FALSE,"1996E.XLS"}</definedName>
    <definedName name="wrn.Radio." hidden="1">{#N/A,#N/A,FALSE,"Virgin Flightdeck"}</definedName>
    <definedName name="wrn.Relevant._.Sections." hidden="1">{#N/A,#N/A,FALSE,"Summary";#N/A,#N/A,FALSE,"Program Scheme";#N/A,#N/A,FALSE,"Assumptions";#N/A,#N/A,FALSE,"Development Budget";#N/A,#N/A,FALSE,"Timing";#N/A,#N/A,FALSE,"Development Costs &amp; Revenues";#N/A,#N/A,FALSE,"Cash Flow to Debt &amp; Equity"}</definedName>
    <definedName name="wrn.report." hidden="1">{"a",#N/A,FALSE,"Fact Sheet";"a",#N/A,FALSE,"DCFEVA";"a",#N/A,FALSE,"Statements";"a",#N/A,FALSE,"Quarterly";"a",#N/A,FALSE,"Q Grid";"a",#N/A,FALSE,"Stockval";"a",#N/A,FALSE,"DDM"}</definedName>
    <definedName name="wrn.REPORT1." hidden="1">{"PRINTME",#N/A,FALSE,"FINAL-10"}</definedName>
    <definedName name="wrn.RESULTS.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wrn.RSA._.BS._.and._.PL." hidden="1">{"BS1",#N/A,TRUE,"RSA_FS";"BS2",#N/A,TRUE,"RSA_FS";"BS3",#N/A,TRUE,"RSA_FS"}</definedName>
    <definedName name="wrn.sales." hidden="1">{"sales",#N/A,FALSE,"Sales";"sales existing",#N/A,FALSE,"Sales";"sales rd1",#N/A,FALSE,"Sales";"sales rd2",#N/A,FALSE,"Sales"}</definedName>
    <definedName name="wrn.Sapere." hidden="1">{"risultati",#N/A,FALSE,"Revenues";"ricavi advertising",#N/A,FALSE,"Revenues";"ricavi e-commerce",#N/A,FALSE,"Revenues";"ricavi fee for content",#N/A,FALSE,"Revenues";"costi infrastruttura",#N/A,FALSE,"Costi";"altri costi",#N/A,FALSE,"Costi";"conto economico",#N/A,FALSE,"Conto economico";"Flussi di cassa",#N/A,FALSE,"FCF"}</definedName>
    <definedName name="wrn.Short." hidden="1">{#N/A,#N/A,TRUE,"ExecSummary";#N/A,#N/A,TRUE,"Main";#N/A,#N/A,TRUE,"Finance";#N/A,#N/A,TRUE,"EstCashflow"}</definedName>
    <definedName name="wrn.ShortPlusExecSumms." hidden="1">{#N/A,#N/A,TRUE,"ExecSummary";#N/A,#N/A,TRUE,"ExecSummaryCosts";#N/A,#N/A,TRUE,"ExecSummaryRent";#N/A,#N/A,TRUE,"Main";#N/A,#N/A,TRUE,"Finance";#N/A,#N/A,TRUE,"EstCashflow"}</definedName>
    <definedName name="wrn.Standard." hidden="1">{"DRUCK",#N/A,FALSE,"HOCHRECHNUNG KORR!!!!";"DRUCK",#N/A,FALSE,"BUDGET 1997_98";"DRUCK",#N/A,FALSE,"PL KUM";"DRUCK",#N/A,FALSE,"VJ KUM";"DRUCK",#N/A,FALSE,"IST KUM KORR!!!"}</definedName>
    <definedName name="wrn.StandardLessInterestCalc." hidden="1">{#N/A,#N/A,TRUE,"ExecSummary";#N/A,#N/A,TRUE,"ProjDescription";#N/A,#N/A,TRUE,"CostSummary";#N/A,#N/A,TRUE,"Main";#N/A,#N/A,TRUE,"Finance";#N/A,#N/A,TRUE,"EstCashflow";#N/A,#N/A,TRUE,"ExhibitA";#N/A,#N/A,TRUE,"CTD"}</definedName>
    <definedName name="wrn.StandardPlusInterestCalc." hidden="1">{#N/A,#N/A,TRUE,"ExecSummary";#N/A,#N/A,TRUE,"ProjDescription";#N/A,#N/A,TRUE,"CostSummary";#N/A,#N/A,TRUE,"Main";#N/A,#N/A,TRUE,"Finance";#N/A,#N/A,TRUE,"EstCashflow";#N/A,#N/A,TRUE,"RevenueCalculation";#N/A,#N/A,TRUE,"InterestCalculation";#N/A,#N/A,TRUE,"COLCalculation";#N/A,#N/A,TRUE,"ExhibitA";#N/A,#N/A,TRUE,"CTD"}</definedName>
    <definedName name="wrn.Summary." hidden="1">{#N/A,#N/A,FALSE,"p1";#N/A,#N/A,FALSE,"Indicators 2001";#N/A,#N/A,FALSE,"p3";#N/A,#N/A,FALSE,"Indicators 2000";#N/A,#N/A,FALSE,"p5";#N/A,#N/A,FALSE,"COY TOTAL";#N/A,#N/A,FALSE,"p12";#N/A,#N/A,FALSE,"p13";#N/A,#N/A,FALSE,"p14";#N/A,#N/A,FALSE,"Abridged 2001";#N/A,#N/A,FALSE,"Abridged NEPD";#N/A,#N/A,FALSE,"Abridged 4TH AND 5TH";#N/A,#N/A,FALSE,"Abridged FIN TEAM";#N/A,#N/A,FALSE,"Abridged HO";#N/A,#N/A,FALSE,"Abridged PD";#N/A,#N/A,FALSE,"p23";#N/A,#N/A,FALSE,"p24";#N/A,#N/A,FALSE,"Profit &amp;loss";#N/A,#N/A,FALSE,"Sal analysis";#N/A,#N/A,FALSE,"P&amp;L Per Sales";#N/A,#N/A,FALSE,"sensitivities";#N/A,#N/A,FALSE,"p33";#N/A,#N/A,FALSE," Cashflow";#N/A,#N/A,FALSE,"Sheet2";#N/A,#N/A,FALSE,"p34";#N/A,#N/A,FALSE,"Bal sh";#N/A,#N/A,FALSE,"Loans"}</definedName>
    <definedName name="wrn.SVERKA.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wrn.Table._.A." hidden="1">{"Table A,pg 1",#N/A,FALSE,"Table A-Prov GUR";"Table A,pg 2",#N/A,FALSE,"Table A-Prov GUR"}</definedName>
    <definedName name="wrn.Table._.A1." hidden="1">{"Table A1,pg 1",#N/A,FALSE,"Table A1-Net Prov Res";"Table A1,pg 2",#N/A,FALSE,"Table A1-Net Prov Res"}</definedName>
    <definedName name="wrn.Übersichten." hidden="1">{"ÜBER mit FW","THU",FALSE,"HORE KORR!";"ÜBERSICHT",#N/A,FALSE,"BUDGET 1997_98";"ÜBER mit FW",#N/A,FALSE,"IST KUM KORR!!";"ÜBERSICHT",#N/A,FALSE,"PLAN KUM"}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rn.Wacc." hidden="1">{"Area1",#N/A,FALSE,"OREWACC";"Area2",#N/A,FALSE,"OREWACC"}</definedName>
    <definedName name="wrn.Wright.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wrn.xrates." hidden="1">{#N/A,#N/A,FALSE,"1996";#N/A,#N/A,FALSE,"1995";#N/A,#N/A,FALSE,"1994"}</definedName>
    <definedName name="wrn.Баланс." hidden="1">{#N/A,#N/A,FALSE,"БАЛАНС"}</definedName>
    <definedName name="wrn.Отчет." hidden="1">{#N/A,#N/A,TRUE,"Лист3"}</definedName>
    <definedName name="wrn.Печать._.всех._.форм." hidden="1">{"осн2",#N/A,FALSE,"Оснрасчет";"осн3",#N/A,FALSE,"Оснрасчет";#N/A,#N/A,FALSE,"кальк эн";#N/A,#N/A,FALSE,"накл ц";#N/A,#N/A,FALSE,"накл котельной";#N/A,#N/A,FALSE,"НАКЛ ЭНЕРГ";#N/A,#N/A,FALSE,"НАКЛ ВОДЫ"}</definedName>
    <definedName name="wrn.Прибыль._.дерев." hidden="1">{"Прибыль дерев",#N/A,FALSE,"Дерев"}</definedName>
    <definedName name="wrn.Прибыль._.ЗАП." hidden="1">{"Прибыль ЗАП",#N/A,FALSE,"ЗАП"}</definedName>
    <definedName name="wrn.Прибыль._.инстр." hidden="1">{"Прибыль инстр",#N/A,FALSE,"Инстр"}</definedName>
    <definedName name="wrn.Прибыль._.литейн." hidden="1">{"Прибыль",#N/A,FALSE,"Литейн"}</definedName>
    <definedName name="wrn.Прибыль._.механ." hidden="1">{"Прибыль механ",#N/A,FALSE,"Механ"}</definedName>
    <definedName name="wrn.Прибыль._.прессов." hidden="1">{"Прибыль пресс",#N/A,FALSE,"Прессов"}</definedName>
    <definedName name="wrn.Прибыль._.прокатн." hidden="1">{"Прибыль прокатн",#N/A,FALSE,"Прокатн"}</definedName>
    <definedName name="wrn.Прибыль._.СаМеКо." hidden="1">{"Прибыль СаМеКо",#N/A,FALSE,"Итог СаМеКо"}</definedName>
    <definedName name="wrn.Прибыль._.СМЗ." hidden="1">{"Прибыль СМЗ",#N/A,FALSE,"СМЗ"}</definedName>
    <definedName name="wrn.Прибыль._.энерг." hidden="1">{"Приибыль энерг",#N/A,FALSE,"Энерг"}</definedName>
    <definedName name="wrn.справка._.для._.Отдела._.МС." hidden="1">{#VALUE!,#N/A,TRUE,0}</definedName>
    <definedName name="ws" hidden="1">{#N/A,#N/A,FALSE,"Aging Summary";#N/A,#N/A,FALSE,"Ratio Analysis";#N/A,#N/A,FALSE,"Test 120 Day Accts";#N/A,#N/A,FALSE,"Tickmarks"}</definedName>
    <definedName name="wtre" hidden="1">{#N/A,#N/A,FALSE,"Aging Summary";#N/A,#N/A,FALSE,"Ratio Analysis";#N/A,#N/A,FALSE,"Test 120 Day Accts";#N/A,#N/A,FALSE,"Tickmarks"}</definedName>
    <definedName name="wvu.daily._.update._.global._.sheet.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
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summary.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w" hidden="1">{#N/A,#N/A,FALSE,"Aging Summary";#N/A,#N/A,FALSE,"Ratio Analysis";#N/A,#N/A,FALSE,"Test 120 Day Accts";#N/A,#N/A,FALSE,"Tickmarks"}</definedName>
    <definedName name="www" hidden="1">{"NWN_Q1810",#N/A,FALSE,"Q1810_1.V";"NWN_Q1412",#N/A,FALSE,"Q1412_1"}</definedName>
    <definedName name="wywe" hidden="1">#REF!</definedName>
    <definedName name="x" hidden="1">{"Area1",#N/A,FALSE,"OREWACC";"Area2",#N/A,FALSE,"OREWACC"}</definedName>
    <definedName name="xcvfbf" hidden="1">{"'Sheet1'!$A$12:$K$107"}</definedName>
    <definedName name="xpr" hidden="1">{"Area1",#N/A,FALSE,"OREWACC";"Area2",#N/A,FALSE,"OREWACC"}</definedName>
    <definedName name="XREF_COLUMN_1" hidden="1">[76]трансформация1!#REF!</definedName>
    <definedName name="XRefActiveRow" hidden="1">#REF!</definedName>
    <definedName name="XRefColumnsCount" hidden="1">1</definedName>
    <definedName name="XRefCopy1" hidden="1">#REF!</definedName>
    <definedName name="XRefCopy1Row" hidden="1">#REF!</definedName>
    <definedName name="XRefCopy2" hidden="1">[76]трансформация1!#REF!</definedName>
    <definedName name="XRefCopy2Row" hidden="1">#REF!</definedName>
    <definedName name="XRefCopy3" hidden="1">[76]трансформация1!#REF!</definedName>
    <definedName name="XRefCopy3Row" hidden="1">#REF!</definedName>
    <definedName name="XRefCopyRangeCount" hidden="1">1</definedName>
    <definedName name="XRefPaste1" hidden="1">[76]трансформация1!#REF!</definedName>
    <definedName name="XRefPaste1Row" hidden="1">#REF!</definedName>
    <definedName name="XRefPaste2" hidden="1">[76]трансформация1!#REF!</definedName>
    <definedName name="XRefPaste2Row" hidden="1">#REF!</definedName>
    <definedName name="XRefPaste3" hidden="1">[76]трансформация1!#REF!</definedName>
    <definedName name="XRefPaste3Row" hidden="1">#REF!</definedName>
    <definedName name="XRefPaste4" hidden="1">[76]трансформация1!#REF!</definedName>
    <definedName name="XRefPaste4Row" hidden="1">#REF!</definedName>
    <definedName name="XRefPasteRangeCount" hidden="1">4</definedName>
    <definedName name="xx" hidden="1">{"Output-Min",#N/A,FALSE,"Output"}</definedName>
    <definedName name="xxx" hidden="1">{"COM",#N/A,FALSE,"800 10th"}</definedName>
    <definedName name="xxxaa" hidden="1">{"Inflation-BaseYear",#N/A,FALSE,"Inputs"}</definedName>
    <definedName name="xxxxx" hidden="1">{"Output%",#N/A,FALSE,"Output"}</definedName>
    <definedName name="XXXXXXXXXX" hidden="1">#REF!</definedName>
    <definedName name="Y">[77]константы!$C$7</definedName>
    <definedName name="yas" hidden="1">#REF!</definedName>
    <definedName name="yasin" hidden="1">#REF!</definedName>
    <definedName name="Years">[50]Reference!$G$91:$G$108</definedName>
    <definedName name="yhtgrfe" hidden="1">{"glc1",#N/A,FALSE,"GLC";"glc2",#N/A,FALSE,"GLC";"glc3",#N/A,FALSE,"GLC";"glc4",#N/A,FALSE,"GLC";"glc5",#N/A,FALSE,"GLC"}</definedName>
    <definedName name="yjdjt" hidden="1">#REF!</definedName>
    <definedName name="yqrew" hidden="1">{"glc1",#N/A,FALSE,"GLC";"glc2",#N/A,FALSE,"GLC";"glc3",#N/A,FALSE,"GLC";"glc4",#N/A,FALSE,"GLC";"glc5",#N/A,FALSE,"GLC"}</definedName>
    <definedName name="yriyuiy">[0]!yriyuiy</definedName>
    <definedName name="yt" hidden="1">{#N/A,#N/A,TRUE,"Буржуям"}</definedName>
    <definedName name="ytyiry">[0]!ytyiry</definedName>
    <definedName name="yutrytr">[0]!yutrytr</definedName>
    <definedName name="YYY" hidden="1">{"'Grafik Kontrol'!$A$1:$J$8"}</definedName>
    <definedName name="z" hidden="1">{"Output-Min",#N/A,FALSE,"Output"}</definedName>
    <definedName name="Z_0595F038_10C1_11D1_BBF1_0020AF29375F_.wvu.Cols" hidden="1">'[78]ECONOMIC DATA'!$D$1:$F$65536,'[78]ECONOMIC DATA'!#REF!</definedName>
    <definedName name="Z_0595F03A_10C1_11D1_BBF1_0020AF29375F_.wvu.Cols" hidden="1">#REF!</definedName>
    <definedName name="Z_0595F03D_10C1_11D1_BBF1_0020AF29375F_.wvu.Cols" hidden="1">#REF!</definedName>
    <definedName name="Z_0595F03F_10C1_11D1_BBF1_0020AF29375F_.wvu.Cols" hidden="1">#REF!</definedName>
    <definedName name="Z_0595F047_10C1_11D1_BBF1_0020AF29375F_.wvu.Cols" hidden="1">'[78]TRAFFIC CALC'!$D$1:$F$65536,'[78]TRAFFIC CALC'!#REF!</definedName>
    <definedName name="Z_0595F048_10C1_11D1_BBF1_0020AF29375F_.wvu.Cols" hidden="1">'[78]TRAFFIC PARM'!$D$1:$F$65536,'[78]TRAFFIC PARM'!#REF!</definedName>
    <definedName name="Z_0595F050_10C1_11D1_BBF1_0020AF29375F_.wvu.Cols" hidden="1">'[78]ECONOMIC DATA'!$A$1:$C$65536,'[78]ECONOMIC DATA'!#REF!</definedName>
    <definedName name="Z_0595F052_10C1_11D1_BBF1_0020AF29375F_.wvu.Cols" hidden="1">#REF!</definedName>
    <definedName name="Z_0595F055_10C1_11D1_BBF1_0020AF29375F_.wvu.Cols" hidden="1">#REF!</definedName>
    <definedName name="Z_0595F057_10C1_11D1_BBF1_0020AF29375F_.wvu.Cols" hidden="1">#REF!</definedName>
    <definedName name="Z_0595F05F_10C1_11D1_BBF1_0020AF29375F_.wvu.Cols" hidden="1">'[78]TRAFFIC CALC'!$A$1:$C$65536,'[78]TRAFFIC CALC'!#REF!</definedName>
    <definedName name="Z_0595F060_10C1_11D1_BBF1_0020AF29375F_.wvu.Cols" hidden="1">'[78]TRAFFIC PARM'!$A$1:$C$65536,'[78]TRAFFIC PARM'!#REF!</definedName>
    <definedName name="Z_195152F2_E1B3_11D0_BBF1_0020AF29375F_.wvu.Cols" hidden="1">'[78]ECONOMIC DATA'!$D$1:$F$65536,'[78]ECONOMIC DATA'!#REF!</definedName>
    <definedName name="Z_195152F4_E1B3_11D0_BBF1_0020AF29375F_.wvu.Cols" hidden="1">#REF!</definedName>
    <definedName name="Z_195152F7_E1B3_11D0_BBF1_0020AF29375F_.wvu.Cols" hidden="1">#REF!</definedName>
    <definedName name="Z_195152F9_E1B3_11D0_BBF1_0020AF29375F_.wvu.Cols" hidden="1">#REF!</definedName>
    <definedName name="Z_19515301_E1B3_11D0_BBF1_0020AF29375F_.wvu.Cols" hidden="1">'[78]TRAFFIC CALC'!$D$1:$F$65536,'[78]TRAFFIC CALC'!#REF!</definedName>
    <definedName name="Z_19515302_E1B3_11D0_BBF1_0020AF29375F_.wvu.Cols" hidden="1">'[78]TRAFFIC PARM'!$D$1:$F$65536,'[78]TRAFFIC PARM'!#REF!</definedName>
    <definedName name="Z_1951530A_E1B3_11D0_BBF1_0020AF29375F_.wvu.Cols" hidden="1">'[78]ECONOMIC DATA'!$A$1:$C$65536,'[78]ECONOMIC DATA'!#REF!</definedName>
    <definedName name="Z_1951530C_E1B3_11D0_BBF1_0020AF29375F_.wvu.Cols" hidden="1">#REF!</definedName>
    <definedName name="Z_1951530F_E1B3_11D0_BBF1_0020AF29375F_.wvu.Cols" hidden="1">#REF!</definedName>
    <definedName name="Z_19515311_E1B3_11D0_BBF1_0020AF29375F_.wvu.Cols" hidden="1">#REF!</definedName>
    <definedName name="Z_19515319_E1B3_11D0_BBF1_0020AF29375F_.wvu.Cols" hidden="1">'[78]TRAFFIC CALC'!$A$1:$C$65536,'[78]TRAFFIC CALC'!#REF!</definedName>
    <definedName name="Z_1951531A_E1B3_11D0_BBF1_0020AF29375F_.wvu.Cols" hidden="1">'[78]TRAFFIC PARM'!$A$1:$C$65536,'[78]TRAFFIC PARM'!#REF!</definedName>
    <definedName name="Z_1C3AD0CD_BF0C_4C4E_9071_158A2F5215E2_.wvu.Rows" hidden="1">#REF!,#REF!,#REF!</definedName>
    <definedName name="Z_2185FC51_7502_43A8_900A_0000B7F738F9_.wvu.Rows" hidden="1">[79]Forecast!$A$26:$IV$29,[79]Forecast!$A$35:$IV$36,[79]Forecast!$A$52:$IV$52,[79]Forecast!$A$56:$IV$60,[79]Forecast!$A$93:$IV$95,[79]Forecast!$A$106:$IV$114,[79]Forecast!$A$119:$IV$120,[79]Forecast!$A$123:$IV$124,[79]Forecast!$A$189:$IV$189,[79]Forecast!$A$254:$IV$254,[79]Forecast!$A$258:$IV$267,[79]Forecast!$A$270:$IV$271,[79]Forecast!$A$273:$IV$313,[79]Forecast!$A$317:$IV$318,[79]Forecast!$A$322:$IV$327,[79]Forecast!$A$339:$IV$339</definedName>
    <definedName name="Z_26901781_AE15_11D3_8896_00C0DFEF98F1_.wvu.PrintArea" hidden="1">'[72]Свод-1'!$A:$IV</definedName>
    <definedName name="Z_270BB401_5236_11D4_BB54_0050044E0CFA_.wvu.Cols" hidden="1">#REF!,#REF!,#REF!,#REF!</definedName>
    <definedName name="Z_270BB401_5236_11D4_BB54_0050044E0CFA_.wvu.FilterData" hidden="1">#REF!</definedName>
    <definedName name="Z_270BB401_5236_11D4_BB54_0050044E0CFA_.wvu.PrintArea" hidden="1">#REF!</definedName>
    <definedName name="Z_270BB401_5236_11D4_BB54_0050044E0CFA_.wvu.PrintTitles" hidden="1">#REF!</definedName>
    <definedName name="Z_270BB401_5236_11D4_BB54_0050044E0CFA_.wvu.Rows" hidden="1">#REF!,#REF!</definedName>
    <definedName name="Z_30FEE15E_D26F_11D4_A6F7_00508B6A7686_.wvu.FilterData" hidden="1">#REF!</definedName>
    <definedName name="Z_30FEE15E_D26F_11D4_A6F7_00508B6A7686_.wvu.PrintArea" hidden="1">#REF!</definedName>
    <definedName name="Z_30FEE15E_D26F_11D4_A6F7_00508B6A7686_.wvu.PrintTitles" hidden="1">#REF!</definedName>
    <definedName name="Z_30FEE15E_D26F_11D4_A6F7_00508B6A7686_.wvu.Rows" hidden="1">#REF!</definedName>
    <definedName name="Z_37A59B27_C76D_4E84_8164_B3D5C7AFADBB_.wvu.Cols" hidden="1">#REF!</definedName>
    <definedName name="Z_567F6202_70FA_11D3_B82E_00E09800249C_.wvu.Cols" hidden="1">[80]Лист2!#REF!</definedName>
    <definedName name="Z_6EE4AFEA_8A42_11D0_BBF1_0020AF29375F_.wvu.Cols" hidden="1">'[78]ECONOMIC DATA'!$D$1:$F$65536,'[78]ECONOMIC DATA'!#REF!</definedName>
    <definedName name="Z_6EE4AFEC_8A42_11D0_BBF1_0020AF29375F_.wvu.Cols" hidden="1">#REF!</definedName>
    <definedName name="Z_6EE4AFEF_8A42_11D0_BBF1_0020AF29375F_.wvu.Cols" hidden="1">#REF!</definedName>
    <definedName name="Z_6EE4AFF1_8A42_11D0_BBF1_0020AF29375F_.wvu.Cols" hidden="1">#REF!</definedName>
    <definedName name="Z_6EE4AFF9_8A42_11D0_BBF1_0020AF29375F_.wvu.Cols" hidden="1">'[78]TRAFFIC CALC'!$D$1:$F$65536,'[78]TRAFFIC CALC'!#REF!</definedName>
    <definedName name="Z_6EE4AFFA_8A42_11D0_BBF1_0020AF29375F_.wvu.Cols" hidden="1">'[78]TRAFFIC PARM'!$D$1:$F$65536,'[78]TRAFFIC PARM'!#REF!</definedName>
    <definedName name="Z_6EE4B002_8A42_11D0_BBF1_0020AF29375F_.wvu.Cols" hidden="1">'[78]ECONOMIC DATA'!$A$1:$C$65536,'[78]ECONOMIC DATA'!#REF!</definedName>
    <definedName name="Z_6EE4B004_8A42_11D0_BBF1_0020AF29375F_.wvu.Cols" hidden="1">#REF!</definedName>
    <definedName name="Z_6EE4B007_8A42_11D0_BBF1_0020AF29375F_.wvu.Cols" hidden="1">#REF!</definedName>
    <definedName name="Z_6EE4B009_8A42_11D0_BBF1_0020AF29375F_.wvu.Cols" hidden="1">#REF!</definedName>
    <definedName name="Z_6EE4B011_8A42_11D0_BBF1_0020AF29375F_.wvu.Cols" hidden="1">'[78]TRAFFIC CALC'!$A$1:$C$65536,'[78]TRAFFIC CALC'!#REF!</definedName>
    <definedName name="Z_6EE4B012_8A42_11D0_BBF1_0020AF29375F_.wvu.Cols" hidden="1">'[78]TRAFFIC PARM'!$A$1:$C$65536,'[78]TRAFFIC PARM'!#REF!</definedName>
    <definedName name="Z_8730C1A1_E63D_11D4_8D95_0050BA8310F8_.wvu.Cols" hidden="1">#REF!</definedName>
    <definedName name="Z_9208C872_C6DF_11D0_B623_0020AF49B783_.wvu.Cols" hidden="1">'[78]ECONOMIC DATA'!$D$1:$F$65536,'[78]ECONOMIC DATA'!#REF!</definedName>
    <definedName name="Z_9208C874_C6DF_11D0_B623_0020AF49B783_.wvu.Cols" hidden="1">#REF!</definedName>
    <definedName name="Z_9208C877_C6DF_11D0_B623_0020AF49B783_.wvu.Cols" hidden="1">#REF!</definedName>
    <definedName name="Z_9208C879_C6DF_11D0_B623_0020AF49B783_.wvu.Cols" hidden="1">#REF!</definedName>
    <definedName name="Z_9208C881_C6DF_11D0_B623_0020AF49B783_.wvu.Cols" hidden="1">'[78]TRAFFIC CALC'!$D$1:$F$65536,'[78]TRAFFIC CALC'!#REF!</definedName>
    <definedName name="Z_9208C882_C6DF_11D0_B623_0020AF49B783_.wvu.Cols" hidden="1">'[78]TRAFFIC PARM'!$D$1:$F$65536,'[78]TRAFFIC PARM'!#REF!</definedName>
    <definedName name="Z_9208C88A_C6DF_11D0_B623_0020AF49B783_.wvu.Cols" hidden="1">'[78]ECONOMIC DATA'!$A$1:$C$65536,'[78]ECONOMIC DATA'!#REF!</definedName>
    <definedName name="Z_9208C88C_C6DF_11D0_B623_0020AF49B783_.wvu.Cols" hidden="1">#REF!</definedName>
    <definedName name="Z_9208C88F_C6DF_11D0_B623_0020AF49B783_.wvu.Cols" hidden="1">#REF!</definedName>
    <definedName name="Z_9208C891_C6DF_11D0_B623_0020AF49B783_.wvu.Cols" hidden="1">#REF!</definedName>
    <definedName name="Z_9208C899_C6DF_11D0_B623_0020AF49B783_.wvu.Cols" hidden="1">'[78]TRAFFIC CALC'!$A$1:$C$65536,'[78]TRAFFIC CALC'!#REF!</definedName>
    <definedName name="Z_9208C89A_C6DF_11D0_B623_0020AF49B783_.wvu.Cols" hidden="1">'[78]TRAFFIC PARM'!$A$1:$C$65536,'[78]TRAFFIC PARM'!#REF!</definedName>
    <definedName name="Z_92F7E099_0E3C_11D1_BBF1_0020AF29375F_.wvu.Cols" hidden="1">'[78]ECONOMIC DATA'!$D$1:$F$65536,'[78]ECONOMIC DATA'!#REF!</definedName>
    <definedName name="Z_92F7E09B_0E3C_11D1_BBF1_0020AF29375F_.wvu.Cols" hidden="1">#REF!</definedName>
    <definedName name="Z_92F7E09E_0E3C_11D1_BBF1_0020AF29375F_.wvu.Cols" hidden="1">#REF!</definedName>
    <definedName name="Z_92F7E0A0_0E3C_11D1_BBF1_0020AF29375F_.wvu.Cols" hidden="1">#REF!</definedName>
    <definedName name="Z_92F7E0A8_0E3C_11D1_BBF1_0020AF29375F_.wvu.Cols" hidden="1">'[78]TRAFFIC CALC'!$D$1:$F$65536,'[78]TRAFFIC CALC'!#REF!</definedName>
    <definedName name="Z_92F7E0A9_0E3C_11D1_BBF1_0020AF29375F_.wvu.Cols" hidden="1">'[78]TRAFFIC PARM'!$D$1:$F$65536,'[78]TRAFFIC PARM'!#REF!</definedName>
    <definedName name="Z_92F7E0B1_0E3C_11D1_BBF1_0020AF29375F_.wvu.Cols" hidden="1">'[78]ECONOMIC DATA'!$A$1:$C$65536,'[78]ECONOMIC DATA'!#REF!</definedName>
    <definedName name="Z_92F7E0B3_0E3C_11D1_BBF1_0020AF29375F_.wvu.Cols" hidden="1">#REF!</definedName>
    <definedName name="Z_92F7E0B6_0E3C_11D1_BBF1_0020AF29375F_.wvu.Cols" hidden="1">#REF!</definedName>
    <definedName name="Z_92F7E0B8_0E3C_11D1_BBF1_0020AF29375F_.wvu.Cols" hidden="1">#REF!</definedName>
    <definedName name="Z_92F7E0C0_0E3C_11D1_BBF1_0020AF29375F_.wvu.Cols" hidden="1">'[78]TRAFFIC CALC'!$A$1:$C$65536,'[78]TRAFFIC CALC'!#REF!</definedName>
    <definedName name="Z_92F7E0C1_0E3C_11D1_BBF1_0020AF29375F_.wvu.Cols" hidden="1">'[78]TRAFFIC PARM'!$A$1:$C$65536,'[78]TRAFFIC PARM'!#REF!</definedName>
    <definedName name="Z_94CB185F_509A_11D3_B82B_00E09800249C_.wvu.Rows" hidden="1">[81]Продажи!$A$5:$IV$5,[81]Продажи!$A$18:$IV$18</definedName>
    <definedName name="Z_9673D06C_8E2D_4E41_BE89_13756C9C3BAE_.wvu.PrintArea" hidden="1">#REF!</definedName>
    <definedName name="Z_96AA1B52_E178_11D0_BBF1_0020AF29375F_.wvu.Cols" hidden="1">'[78]ECONOMIC DATA'!$D$1:$F$65536,'[78]ECONOMIC DATA'!#REF!</definedName>
    <definedName name="Z_96AA1B54_E178_11D0_BBF1_0020AF29375F_.wvu.Cols" hidden="1">#REF!</definedName>
    <definedName name="Z_96AA1B57_E178_11D0_BBF1_0020AF29375F_.wvu.Cols" hidden="1">#REF!</definedName>
    <definedName name="Z_96AA1B59_E178_11D0_BBF1_0020AF29375F_.wvu.Cols" hidden="1">#REF!</definedName>
    <definedName name="Z_96AA1B61_E178_11D0_BBF1_0020AF29375F_.wvu.Cols" hidden="1">'[78]TRAFFIC CALC'!$D$1:$F$65536,'[78]TRAFFIC CALC'!#REF!</definedName>
    <definedName name="Z_96AA1B62_E178_11D0_BBF1_0020AF29375F_.wvu.Cols" hidden="1">'[78]TRAFFIC PARM'!$D$1:$F$65536,'[78]TRAFFIC PARM'!#REF!</definedName>
    <definedName name="Z_96AA1B6A_E178_11D0_BBF1_0020AF29375F_.wvu.Cols" hidden="1">'[78]ECONOMIC DATA'!$A$1:$C$65536,'[78]ECONOMIC DATA'!#REF!</definedName>
    <definedName name="Z_96AA1B6C_E178_11D0_BBF1_0020AF29375F_.wvu.Cols" hidden="1">#REF!</definedName>
    <definedName name="Z_96AA1B6F_E178_11D0_BBF1_0020AF29375F_.wvu.Cols" hidden="1">#REF!</definedName>
    <definedName name="Z_96AA1B71_E178_11D0_BBF1_0020AF29375F_.wvu.Cols" hidden="1">#REF!</definedName>
    <definedName name="Z_96AA1B79_E178_11D0_BBF1_0020AF29375F_.wvu.Cols" hidden="1">'[78]TRAFFIC CALC'!$A$1:$C$65536,'[78]TRAFFIC CALC'!#REF!</definedName>
    <definedName name="Z_96AA1B7A_E178_11D0_BBF1_0020AF29375F_.wvu.Cols" hidden="1">'[78]TRAFFIC PARM'!$A$1:$C$65536,'[78]TRAFFIC PARM'!#REF!</definedName>
    <definedName name="Z_99D15F62_90C4_405A_985F_7C185F19F985_.wvu.Rows" hidden="1">[79]Forecast!$A$26:$IV$29,[79]Forecast!$A$35:$IV$36,[79]Forecast!$A$52:$IV$52,[79]Forecast!$A$56:$IV$60,[79]Forecast!$A$93:$IV$95,[79]Forecast!$A$106:$IV$114,[79]Forecast!$A$119:$IV$120,[79]Forecast!$A$123:$IV$124,[79]Forecast!$A$189:$IV$189,[79]Forecast!$A$254:$IV$254,[79]Forecast!$A$258:$IV$267,[79]Forecast!$A$270:$IV$271,[79]Forecast!$A$273:$IV$313,[79]Forecast!$A$317:$IV$318,[79]Forecast!$A$322:$IV$327,[79]Forecast!$A$339:$IV$339</definedName>
    <definedName name="Z_9F4E9141_41FC_4B2C_AC1F_EC647474A564_.wvu.PrintArea" hidden="1">#REF!</definedName>
    <definedName name="Z_9F4E9141_41FC_4B2C_AC1F_EC647474A564_.wvu.Rows" hidden="1">#REF!</definedName>
    <definedName name="Z_A0AC4B42_5259_11D4_B5FE_00C04FC949BF_.wvu.Cols" hidden="1">#REF!,#REF!,#REF!,#REF!</definedName>
    <definedName name="Z_A0AC4B42_5259_11D4_B5FE_00C04FC949BF_.wvu.FilterData" hidden="1">#REF!</definedName>
    <definedName name="Z_A0AC4B42_5259_11D4_B5FE_00C04FC949BF_.wvu.PrintArea" hidden="1">#REF!</definedName>
    <definedName name="Z_A0AC4B42_5259_11D4_B5FE_00C04FC949BF_.wvu.PrintTitles" hidden="1">#REF!</definedName>
    <definedName name="Z_A0AC4B42_5259_11D4_B5FE_00C04FC949BF_.wvu.Rows" hidden="1">#REF!,#REF!,#REF!,#REF!,#REF!,#REF!,#REF!</definedName>
    <definedName name="Z_A6168485_6886_4592_BB13_07B9E683E6FB_.wvu.Cols" hidden="1">#REF!</definedName>
    <definedName name="Z_A6168485_6886_4592_BB13_07B9E683E6FB_.wvu.FilterData" hidden="1">#REF!</definedName>
    <definedName name="Z_A6168485_6886_4592_BB13_07B9E683E6FB_.wvu.PrintArea" hidden="1">#REF!</definedName>
    <definedName name="Z_A6168485_6886_4592_BB13_07B9E683E6FB_.wvu.PrintTitles" hidden="1">#REF!</definedName>
    <definedName name="Z_A6168485_6886_4592_BB13_07B9E683E6FB_.wvu.Rows" hidden="1">#REF!,#REF!,#REF!,#REF!,#REF!</definedName>
    <definedName name="Z_AD1AC26D_B0C2_11D0_BBF1_0020AF29375F_.wvu.Cols" hidden="1">'[78]ECONOMIC DATA'!$D$1:$F$65536,'[78]ECONOMIC DATA'!#REF!</definedName>
    <definedName name="Z_AD1AC26F_B0C2_11D0_BBF1_0020AF29375F_.wvu.Cols" hidden="1">#REF!</definedName>
    <definedName name="Z_AD1AC272_B0C2_11D0_BBF1_0020AF29375F_.wvu.Cols" hidden="1">#REF!</definedName>
    <definedName name="Z_AD1AC274_B0C2_11D0_BBF1_0020AF29375F_.wvu.Cols" hidden="1">#REF!</definedName>
    <definedName name="Z_AD1AC27C_B0C2_11D0_BBF1_0020AF29375F_.wvu.Cols" hidden="1">'[78]TRAFFIC CALC'!$D$1:$F$65536,'[78]TRAFFIC CALC'!#REF!</definedName>
    <definedName name="Z_AD1AC27D_B0C2_11D0_BBF1_0020AF29375F_.wvu.Cols" hidden="1">'[78]TRAFFIC PARM'!$D$1:$F$65536,'[78]TRAFFIC PARM'!#REF!</definedName>
    <definedName name="Z_AD1AC285_B0C2_11D0_BBF1_0020AF29375F_.wvu.Cols" hidden="1">'[78]ECONOMIC DATA'!$A$1:$C$65536,'[78]ECONOMIC DATA'!#REF!</definedName>
    <definedName name="Z_AD1AC287_B0C2_11D0_BBF1_0020AF29375F_.wvu.Cols" hidden="1">#REF!</definedName>
    <definedName name="Z_AD1AC28A_B0C2_11D0_BBF1_0020AF29375F_.wvu.Cols" hidden="1">#REF!</definedName>
    <definedName name="Z_AD1AC28C_B0C2_11D0_BBF1_0020AF29375F_.wvu.Cols" hidden="1">#REF!</definedName>
    <definedName name="Z_AD1AC294_B0C2_11D0_BBF1_0020AF29375F_.wvu.Cols" hidden="1">'[78]TRAFFIC CALC'!$A$1:$C$65536,'[78]TRAFFIC CALC'!#REF!</definedName>
    <definedName name="Z_AD1AC295_B0C2_11D0_BBF1_0020AF29375F_.wvu.Cols" hidden="1">'[78]TRAFFIC PARM'!$A$1:$C$65536,'[78]TRAFFIC PARM'!#REF!</definedName>
    <definedName name="Z_BA328375_936C_11D3_9E74_00062992D5D9_.wvu.Rows" hidden="1">[81]Продажи!$A$5:$IV$5,[81]Продажи!$A$18:$IV$18</definedName>
    <definedName name="Z_C0A63332_F77B_11D0_B623_0020AF49B783_.wvu.Cols" hidden="1">'[78]ECONOMIC DATA'!$D$1:$F$65536,'[78]ECONOMIC DATA'!#REF!</definedName>
    <definedName name="Z_C0A63334_F77B_11D0_B623_0020AF49B783_.wvu.Cols" hidden="1">#REF!</definedName>
    <definedName name="Z_C0A63337_F77B_11D0_B623_0020AF49B783_.wvu.Cols" hidden="1">#REF!</definedName>
    <definedName name="Z_C0A63339_F77B_11D0_B623_0020AF49B783_.wvu.Cols" hidden="1">#REF!</definedName>
    <definedName name="Z_C0A63341_F77B_11D0_B623_0020AF49B783_.wvu.Cols" hidden="1">'[78]TRAFFIC CALC'!$D$1:$F$65536,'[78]TRAFFIC CALC'!#REF!</definedName>
    <definedName name="Z_C0A63342_F77B_11D0_B623_0020AF49B783_.wvu.Cols" hidden="1">'[78]TRAFFIC PARM'!$D$1:$F$65536,'[78]TRAFFIC PARM'!#REF!</definedName>
    <definedName name="Z_C0A6334A_F77B_11D0_B623_0020AF49B783_.wvu.Cols" hidden="1">'[78]ECONOMIC DATA'!$A$1:$C$65536,'[78]ECONOMIC DATA'!#REF!</definedName>
    <definedName name="Z_C0A6334C_F77B_11D0_B623_0020AF49B783_.wvu.Cols" hidden="1">#REF!</definedName>
    <definedName name="Z_C0A6334F_F77B_11D0_B623_0020AF49B783_.wvu.Cols" hidden="1">#REF!</definedName>
    <definedName name="Z_C0A63351_F77B_11D0_B623_0020AF49B783_.wvu.Cols" hidden="1">#REF!</definedName>
    <definedName name="Z_C0A63359_F77B_11D0_B623_0020AF49B783_.wvu.Cols" hidden="1">'[78]TRAFFIC CALC'!$A$1:$C$65536,'[78]TRAFFIC CALC'!#REF!</definedName>
    <definedName name="Z_C0A6335A_F77B_11D0_B623_0020AF49B783_.wvu.Cols" hidden="1">'[78]TRAFFIC PARM'!$A$1:$C$65536,'[78]TRAFFIC PARM'!#REF!</definedName>
    <definedName name="Z_CB1D7872_F78D_11D0_B623_0020AF49B783_.wvu.Cols" hidden="1">'[78]ECONOMIC DATA'!$D$1:$F$65536,'[78]ECONOMIC DATA'!#REF!</definedName>
    <definedName name="Z_CB1D7874_F78D_11D0_B623_0020AF49B783_.wvu.Cols" hidden="1">#REF!</definedName>
    <definedName name="Z_CB1D7877_F78D_11D0_B623_0020AF49B783_.wvu.Cols" hidden="1">#REF!</definedName>
    <definedName name="Z_CB1D7879_F78D_11D0_B623_0020AF49B783_.wvu.Cols" hidden="1">#REF!</definedName>
    <definedName name="Z_CB1D7881_F78D_11D0_B623_0020AF49B783_.wvu.Cols" hidden="1">'[78]TRAFFIC CALC'!$D$1:$F$65536,'[78]TRAFFIC CALC'!#REF!</definedName>
    <definedName name="Z_CB1D7882_F78D_11D0_B623_0020AF49B783_.wvu.Cols" hidden="1">'[78]TRAFFIC PARM'!$D$1:$F$65536,'[78]TRAFFIC PARM'!#REF!</definedName>
    <definedName name="Z_CB1D788A_F78D_11D0_B623_0020AF49B783_.wvu.Cols" hidden="1">'[78]ECONOMIC DATA'!$A$1:$C$65536,'[78]ECONOMIC DATA'!#REF!</definedName>
    <definedName name="Z_CB1D788C_F78D_11D0_B623_0020AF49B783_.wvu.Cols" hidden="1">#REF!</definedName>
    <definedName name="Z_CB1D788F_F78D_11D0_B623_0020AF49B783_.wvu.Cols" hidden="1">#REF!</definedName>
    <definedName name="Z_CB1D7891_F78D_11D0_B623_0020AF49B783_.wvu.Cols" hidden="1">#REF!</definedName>
    <definedName name="Z_CB1D7899_F78D_11D0_B623_0020AF49B783_.wvu.Cols" hidden="1">'[78]TRAFFIC CALC'!$A$1:$C$65536,'[78]TRAFFIC CALC'!#REF!</definedName>
    <definedName name="Z_CB1D789A_F78D_11D0_B623_0020AF49B783_.wvu.Cols" hidden="1">'[78]TRAFFIC PARM'!$A$1:$C$65536,'[78]TRAFFIC PARM'!#REF!</definedName>
    <definedName name="Z_CB1D7A38_F78D_11D0_B623_0020AF49B783_.wvu.Cols" hidden="1">'[78]ECONOMIC DATA'!$D$1:$F$65536,'[78]ECONOMIC DATA'!#REF!</definedName>
    <definedName name="Z_CB1D7A3A_F78D_11D0_B623_0020AF49B783_.wvu.Cols" hidden="1">#REF!</definedName>
    <definedName name="Z_CB1D7A3D_F78D_11D0_B623_0020AF49B783_.wvu.Cols" hidden="1">#REF!</definedName>
    <definedName name="Z_CB1D7A3F_F78D_11D0_B623_0020AF49B783_.wvu.Cols" hidden="1">#REF!</definedName>
    <definedName name="Z_CB1D7A47_F78D_11D0_B623_0020AF49B783_.wvu.Cols" hidden="1">'[78]TRAFFIC CALC'!$D$1:$F$65536,'[78]TRAFFIC CALC'!#REF!</definedName>
    <definedName name="Z_CB1D7A48_F78D_11D0_B623_0020AF49B783_.wvu.Cols" hidden="1">'[78]TRAFFIC PARM'!$D$1:$F$65536,'[78]TRAFFIC PARM'!#REF!</definedName>
    <definedName name="Z_CB1D7A50_F78D_11D0_B623_0020AF49B783_.wvu.Cols" hidden="1">'[78]ECONOMIC DATA'!$A$1:$C$65536,'[78]ECONOMIC DATA'!#REF!</definedName>
    <definedName name="Z_CB1D7A52_F78D_11D0_B623_0020AF49B783_.wvu.Cols" hidden="1">#REF!</definedName>
    <definedName name="Z_CB1D7A55_F78D_11D0_B623_0020AF49B783_.wvu.Cols" hidden="1">#REF!</definedName>
    <definedName name="Z_CB1D7A57_F78D_11D0_B623_0020AF49B783_.wvu.Cols" hidden="1">#REF!</definedName>
    <definedName name="Z_CB1D7A5F_F78D_11D0_B623_0020AF49B783_.wvu.Cols" hidden="1">'[78]TRAFFIC CALC'!$A$1:$C$65536,'[78]TRAFFIC CALC'!#REF!</definedName>
    <definedName name="Z_CB1D7A60_F78D_11D0_B623_0020AF49B783_.wvu.Cols" hidden="1">'[78]TRAFFIC PARM'!$A$1:$C$65536,'[78]TRAFFIC PARM'!#REF!</definedName>
    <definedName name="Z_CB8A7D86_8A72_11D0_BBF1_0020AF29375F_.wvu.Cols" hidden="1">'[78]ECONOMIC DATA'!$D$1:$F$65536,'[78]ECONOMIC DATA'!#REF!</definedName>
    <definedName name="Z_CB8A7D88_8A72_11D0_BBF1_0020AF29375F_.wvu.Cols" hidden="1">#REF!</definedName>
    <definedName name="Z_CB8A7D8B_8A72_11D0_BBF1_0020AF29375F_.wvu.Cols" hidden="1">#REF!</definedName>
    <definedName name="Z_CB8A7D8D_8A72_11D0_BBF1_0020AF29375F_.wvu.Cols" hidden="1">#REF!</definedName>
    <definedName name="Z_CB8A7D95_8A72_11D0_BBF1_0020AF29375F_.wvu.Cols" hidden="1">'[78]TRAFFIC CALC'!$D$1:$F$65536,'[78]TRAFFIC CALC'!#REF!</definedName>
    <definedName name="Z_CB8A7D96_8A72_11D0_BBF1_0020AF29375F_.wvu.Cols" hidden="1">'[78]TRAFFIC PARM'!$D$1:$F$65536,'[78]TRAFFIC PARM'!#REF!</definedName>
    <definedName name="Z_CB8A7D9E_8A72_11D0_BBF1_0020AF29375F_.wvu.Cols" hidden="1">'[78]ECONOMIC DATA'!$A$1:$C$65536,'[78]ECONOMIC DATA'!#REF!</definedName>
    <definedName name="Z_CB8A7DA0_8A72_11D0_BBF1_0020AF29375F_.wvu.Cols" hidden="1">#REF!</definedName>
    <definedName name="Z_CB8A7DA3_8A72_11D0_BBF1_0020AF29375F_.wvu.Cols" hidden="1">#REF!</definedName>
    <definedName name="Z_CB8A7DA5_8A72_11D0_BBF1_0020AF29375F_.wvu.Cols" hidden="1">#REF!</definedName>
    <definedName name="Z_CB8A7DAD_8A72_11D0_BBF1_0020AF29375F_.wvu.Cols" hidden="1">'[78]TRAFFIC CALC'!$A$1:$C$65536,'[78]TRAFFIC CALC'!#REF!</definedName>
    <definedName name="Z_CB8A7DAE_8A72_11D0_BBF1_0020AF29375F_.wvu.Cols" hidden="1">'[78]TRAFFIC PARM'!$A$1:$C$65536,'[78]TRAFFIC PARM'!#REF!</definedName>
    <definedName name="Z_D0FC81D9_872A_11D6_B808_0010DC239F6A_.wvu.Cols" hidden="1">#REF!</definedName>
    <definedName name="Z_D0FC81D9_872A_11D6_B808_0010DC239F6A_.wvu.FilterData" hidden="1">#REF!</definedName>
    <definedName name="Z_D0FC81D9_872A_11D6_B808_0010DC239F6A_.wvu.PrintArea" hidden="1">#REF!</definedName>
    <definedName name="Z_D0FC81D9_872A_11D6_B808_0010DC239F6A_.wvu.PrintTitles" hidden="1">#REF!</definedName>
    <definedName name="Z_D0FC81D9_872A_11D6_B808_0010DC239F6A_.wvu.Rows" hidden="1">#REF!,#REF!,#REF!,#REF!,#REF!</definedName>
    <definedName name="Z_D1F2B56D_1E58_4BCA_92CD_48826E79E65F_.wvu.Cols" hidden="1">#REF!,#REF!</definedName>
    <definedName name="Z_D2C4350A_8B21_11D0_BBF1_0020AF29375F_.wvu.Cols" hidden="1">'[78]ECONOMIC DATA'!$D$1:$F$65536,'[78]ECONOMIC DATA'!#REF!</definedName>
    <definedName name="Z_D2C4350C_8B21_11D0_BBF1_0020AF29375F_.wvu.Cols" hidden="1">#REF!</definedName>
    <definedName name="Z_D2C4350F_8B21_11D0_BBF1_0020AF29375F_.wvu.Cols" hidden="1">#REF!</definedName>
    <definedName name="Z_D2C43511_8B21_11D0_BBF1_0020AF29375F_.wvu.Cols" hidden="1">#REF!</definedName>
    <definedName name="Z_D2C43519_8B21_11D0_BBF1_0020AF29375F_.wvu.Cols" hidden="1">'[78]TRAFFIC CALC'!$D$1:$F$65536,'[78]TRAFFIC CALC'!#REF!</definedName>
    <definedName name="Z_D2C4351A_8B21_11D0_BBF1_0020AF29375F_.wvu.Cols" hidden="1">'[78]TRAFFIC PARM'!$D$1:$F$65536,'[78]TRAFFIC PARM'!#REF!</definedName>
    <definedName name="Z_D2C43522_8B21_11D0_BBF1_0020AF29375F_.wvu.Cols" hidden="1">'[78]ECONOMIC DATA'!$A$1:$C$65536,'[78]ECONOMIC DATA'!#REF!</definedName>
    <definedName name="Z_D2C43524_8B21_11D0_BBF1_0020AF29375F_.wvu.Cols" hidden="1">#REF!</definedName>
    <definedName name="Z_D2C43527_8B21_11D0_BBF1_0020AF29375F_.wvu.Cols" hidden="1">#REF!</definedName>
    <definedName name="Z_D2C43529_8B21_11D0_BBF1_0020AF29375F_.wvu.Cols" hidden="1">#REF!</definedName>
    <definedName name="Z_D2C43531_8B21_11D0_BBF1_0020AF29375F_.wvu.Cols" hidden="1">'[78]TRAFFIC CALC'!$A$1:$C$65536,'[78]TRAFFIC CALC'!#REF!</definedName>
    <definedName name="Z_D2C43532_8B21_11D0_BBF1_0020AF29375F_.wvu.Cols" hidden="1">'[78]TRAFFIC PARM'!$A$1:$C$65536,'[78]TRAFFIC PARM'!#REF!</definedName>
    <definedName name="Z_DF5C41E4_E0D7_11D0_BBF1_0020AF29375F_.wvu.Cols" hidden="1">'[78]ECONOMIC DATA'!$D$1:$F$65536,'[78]ECONOMIC DATA'!#REF!</definedName>
    <definedName name="Z_DF5C41E6_E0D7_11D0_BBF1_0020AF29375F_.wvu.Cols" hidden="1">#REF!</definedName>
    <definedName name="Z_DF5C41E9_E0D7_11D0_BBF1_0020AF29375F_.wvu.Cols" hidden="1">#REF!</definedName>
    <definedName name="Z_DF5C41EB_E0D7_11D0_BBF1_0020AF29375F_.wvu.Cols" hidden="1">#REF!</definedName>
    <definedName name="Z_DF5C41F3_E0D7_11D0_BBF1_0020AF29375F_.wvu.Cols" hidden="1">'[78]TRAFFIC CALC'!$D$1:$F$65536,'[78]TRAFFIC CALC'!#REF!</definedName>
    <definedName name="Z_DF5C41F4_E0D7_11D0_BBF1_0020AF29375F_.wvu.Cols" hidden="1">'[78]TRAFFIC PARM'!$D$1:$F$65536,'[78]TRAFFIC PARM'!#REF!</definedName>
    <definedName name="Z_DF5C41FC_E0D7_11D0_BBF1_0020AF29375F_.wvu.Cols" hidden="1">'[78]ECONOMIC DATA'!$A$1:$C$65536,'[78]ECONOMIC DATA'!#REF!</definedName>
    <definedName name="Z_DF5C41FE_E0D7_11D0_BBF1_0020AF29375F_.wvu.Cols" hidden="1">#REF!</definedName>
    <definedName name="Z_DF5C4201_E0D7_11D0_BBF1_0020AF29375F_.wvu.Cols" hidden="1">#REF!</definedName>
    <definedName name="Z_DF5C4203_E0D7_11D0_BBF1_0020AF29375F_.wvu.Cols" hidden="1">#REF!</definedName>
    <definedName name="Z_DF5C420B_E0D7_11D0_BBF1_0020AF29375F_.wvu.Cols" hidden="1">'[78]TRAFFIC CALC'!$A$1:$C$65536,'[78]TRAFFIC CALC'!#REF!</definedName>
    <definedName name="Z_DF5C420C_E0D7_11D0_BBF1_0020AF29375F_.wvu.Cols" hidden="1">'[78]TRAFFIC PARM'!$A$1:$C$65536,'[78]TRAFFIC PARM'!#REF!</definedName>
    <definedName name="Z_DF9ECF1C_04DF_11D1_B623_0020AF49B783_.wvu.Cols" hidden="1">'[78]ECONOMIC DATA'!$D$1:$F$65536,'[78]ECONOMIC DATA'!#REF!</definedName>
    <definedName name="Z_DF9ECF1E_04DF_11D1_B623_0020AF49B783_.wvu.Cols" hidden="1">#REF!</definedName>
    <definedName name="Z_DF9ECF21_04DF_11D1_B623_0020AF49B783_.wvu.Cols" hidden="1">#REF!</definedName>
    <definedName name="Z_DF9ECF23_04DF_11D1_B623_0020AF49B783_.wvu.Cols" hidden="1">#REF!</definedName>
    <definedName name="Z_DF9ECF2B_04DF_11D1_B623_0020AF49B783_.wvu.Cols" hidden="1">'[78]TRAFFIC CALC'!$D$1:$F$65536,'[78]TRAFFIC CALC'!#REF!</definedName>
    <definedName name="Z_DF9ECF2C_04DF_11D1_B623_0020AF49B783_.wvu.Cols" hidden="1">'[78]TRAFFIC PARM'!$D$1:$F$65536,'[78]TRAFFIC PARM'!#REF!</definedName>
    <definedName name="Z_DF9ECF34_04DF_11D1_B623_0020AF49B783_.wvu.Cols" hidden="1">'[78]ECONOMIC DATA'!$A$1:$C$65536,'[78]ECONOMIC DATA'!#REF!</definedName>
    <definedName name="Z_DF9ECF36_04DF_11D1_B623_0020AF49B783_.wvu.Cols" hidden="1">#REF!</definedName>
    <definedName name="Z_DF9ECF39_04DF_11D1_B623_0020AF49B783_.wvu.Cols" hidden="1">#REF!</definedName>
    <definedName name="Z_DF9ECF3B_04DF_11D1_B623_0020AF49B783_.wvu.Cols" hidden="1">#REF!</definedName>
    <definedName name="Z_DF9ECF43_04DF_11D1_B623_0020AF49B783_.wvu.Cols" hidden="1">'[78]TRAFFIC CALC'!$A$1:$C$65536,'[78]TRAFFIC CALC'!#REF!</definedName>
    <definedName name="Z_DF9ECF44_04DF_11D1_B623_0020AF49B783_.wvu.Cols" hidden="1">'[78]TRAFFIC PARM'!$A$1:$C$65536,'[78]TRAFFIC PARM'!#REF!</definedName>
    <definedName name="Z_FA0D2A17_1C02_11D8_848D_00021BF19BDB_.wvu.FilterData" hidden="1">#REF!</definedName>
    <definedName name="Z_FB25C028_80C5_49E2_A786_1894E89AE1AD_.wvu.Rows" hidden="1">[19]опт!$A$57:$IV$72</definedName>
    <definedName name="zdfb" hidden="1">#REF!</definedName>
    <definedName name="ZI">#REF!</definedName>
    <definedName name="ZIM">#REF!</definedName>
    <definedName name="zsd" hidden="1">{#N/A,#N/A,FALSE,"Aging Summary";#N/A,#N/A,FALSE,"Ratio Analysis";#N/A,#N/A,FALSE,"Test 120 Day Accts";#N/A,#N/A,FALSE,"Tickmarks"}</definedName>
    <definedName name="zzzz" hidden="1">{"Commish",#N/A,FALSE,"LAWTC"}</definedName>
    <definedName name="zzzzzzzzzzzz" hidden="1">{#N/A,#N/A,FALSE,"Aging Summary";#N/A,#N/A,FALSE,"Ratio Analysis";#N/A,#N/A,FALSE,"Test 120 Day Accts";#N/A,#N/A,FALSE,"Tickmarks"}</definedName>
    <definedName name="а" hidden="1">{"glcbs",#N/A,FALSE,"GLCBS";"glccsbs",#N/A,FALSE,"GLCCSBS";"glcis",#N/A,FALSE,"GLCIS";"glccsis",#N/A,FALSE,"GLCCSIS";"glcrat1",#N/A,FALSE,"GLC-ratios1"}</definedName>
    <definedName name="а1">[82]Титул!$A$1</definedName>
    <definedName name="А3">#REF!</definedName>
    <definedName name="а5">[82]Ф5!$A$1</definedName>
    <definedName name="а6">[82]Ф6!$A$1</definedName>
    <definedName name="аL159">#REF!</definedName>
    <definedName name="аа">[83]Характеристика!$E$3</definedName>
    <definedName name="ааа" hidden="1">{#N/A,#N/A,FALSE,"Aging Summary";#N/A,#N/A,FALSE,"Ratio Analysis";#N/A,#N/A,FALSE,"Test 120 Day Accts";#N/A,#N/A,FALSE,"Tickmarks"}</definedName>
    <definedName name="аааа">#REF!</definedName>
    <definedName name="аааа2" hidden="1">{#N/A,#N/A,TRUE,"Буржуям"}</definedName>
    <definedName name="ааааа" hidden="1">{"'РП (2)'!$A$5:$S$150"}</definedName>
    <definedName name="ааааа2" hidden="1">{#N/A,#N/A,TRUE,"Буржуям"}</definedName>
    <definedName name="ааааааа" hidden="1">{#N/A,#N/A,TRUE,"Буржуям"}</definedName>
    <definedName name="ааааааааа" hidden="1">{"'Sheet1'!$A$1:$G$85"}</definedName>
    <definedName name="ААААААААААА" hidden="1">{#N/A,#N/A,TRUE,"Буржуям"}</definedName>
    <definedName name="АААВВВ" hidden="1">{#N/A,#N/A,TRUE,"Буржуям"}</definedName>
    <definedName name="ав">#REF!</definedName>
    <definedName name="Ав_ос">[4]Лист1!$F$16</definedName>
    <definedName name="ав1">#REF!</definedName>
    <definedName name="ав2">#REF!</definedName>
    <definedName name="аванс">[4]MACRO!#REF!</definedName>
    <definedName name="аванс_01">[4]Поступления!#REF!</definedName>
    <definedName name="аванс_02">'[4]Хран сах '!$F$27</definedName>
    <definedName name="аванс_03">'[4]Хран сах '!$F$71</definedName>
    <definedName name="аванс_2000">'[4]Хран сах '!#REF!</definedName>
    <definedName name="аванс_2001">'[4]Хран сах '!#REF!</definedName>
    <definedName name="Аванс_деньги">[4]Поступления!#REF!</definedName>
    <definedName name="Аванс_квота">[4]Поступления!$F$53</definedName>
    <definedName name="аванс_мат">[4]Лист1!$F$117</definedName>
    <definedName name="Аванс_передача">[4]Поступления!#REF!</definedName>
    <definedName name="аванс_тов">[4]MACRO!$F$12</definedName>
    <definedName name="аванс_усл">[4]Поступления!$F$86</definedName>
    <definedName name="авансы">[4]Льгов!$F$43</definedName>
    <definedName name="авансы_уплаченные_дол">[4]Лист1!#REF!</definedName>
    <definedName name="авансы_уплаченные_РСК">[4]Лист1!#REF!</definedName>
    <definedName name="авансы_уплаченные_РСК_дол">[4]Лист1!#REF!</definedName>
    <definedName name="авантов">[4]Лист1!$F$27</definedName>
    <definedName name="аванусл">[4]Лист1!$F$93</definedName>
    <definedName name="авва">#REF!</definedName>
    <definedName name="аввавав" hidden="1">[84]MAIN!#REF!</definedName>
    <definedName name="АВВАВАВАВА" hidden="1">{#N/A,#N/A,TRUE,"Буржуям"}</definedName>
    <definedName name="авг">'[4]Инвест.план к БДДС'!$I$12</definedName>
    <definedName name="авг03гр">#REF!</definedName>
    <definedName name="авг03руб.">#REF!</definedName>
    <definedName name="авг03рубб">'[85]Сводная ЛССМУ'!$DE$39</definedName>
    <definedName name="авг03у.е.">#REF!</definedName>
    <definedName name="авг04гр">#REF!</definedName>
    <definedName name="авг04руб">#REF!</definedName>
    <definedName name="авг04у.е.">#REF!</definedName>
    <definedName name="август" hidden="1">{#N/A,#N/A,TRUE,"Буржуям"}</definedName>
    <definedName name="авиываирв">[0]!авиываирв</definedName>
    <definedName name="авпвап" hidden="1">#REF!</definedName>
    <definedName name="аврваыр" hidden="1">{"glcbs",#N/A,FALSE,"GLCBS";"glccsbs",#N/A,FALSE,"GLCCSBS";"glcis",#N/A,FALSE,"GLCIS";"glccsis",#N/A,FALSE,"GLCCSIS";"glcrat1",#N/A,FALSE,"GLC-ratios1"}</definedName>
    <definedName name="аврепар">[0]!аврепар</definedName>
    <definedName name="АВС" hidden="1">#REF!</definedName>
    <definedName name="автоматы">#REF!</definedName>
    <definedName name="Автотехника" hidden="1">{#VALUE!,#N/A,TRUE,0}</definedName>
    <definedName name="авфвап">[0]!авфвап</definedName>
    <definedName name="авы">'[86]1'!$K$1</definedName>
    <definedName name="авыа">[0]!авыа</definedName>
    <definedName name="Агр_02">[4]Лист1!#REF!</definedName>
    <definedName name="Агр_03">[4]Лист1!#REF!</definedName>
    <definedName name="агро">[4]Лист1!#REF!</definedName>
    <definedName name="агрокоинвест">[4]Лист1!$J$64</definedName>
    <definedName name="агшененг">[0]!агшененг</definedName>
    <definedName name="адр_5_1">#REF!</definedName>
    <definedName name="адр_5_2">#REF!</definedName>
    <definedName name="адр_5_3">#REF!</definedName>
    <definedName name="адр_6_1">#REF!</definedName>
    <definedName name="адрес">[87]СВОДНАЯ!$B$11</definedName>
    <definedName name="Адрес_п">#REF!</definedName>
    <definedName name="Адрес_полный">#REF!</definedName>
    <definedName name="аелор">[0]!аелор</definedName>
    <definedName name="аен">[0]!аен</definedName>
    <definedName name="аеналепал">[0]!аеналепал</definedName>
    <definedName name="аенепгнп">[0]!аенепгнп</definedName>
    <definedName name="аеонвен">[0]!аеонвен</definedName>
    <definedName name="аере">[0]!аере</definedName>
    <definedName name="аереон">[0]!аереон</definedName>
    <definedName name="АЗ">[4]Лист1!$AB$89</definedName>
    <definedName name="акенг">[0]!акенг</definedName>
    <definedName name="аковопро">[0]!аковопро</definedName>
    <definedName name="акпеоако" hidden="1">{"'Prices'!$A$4:$J$27"}</definedName>
    <definedName name="Акциз">#REF!</definedName>
    <definedName name="Акциз1">#REF!</definedName>
    <definedName name="Акции">'[4]Хран сах '!$F$492</definedName>
    <definedName name="алпа">[0]!Weekday_count*[0]!Standard_Daily_Hours</definedName>
    <definedName name="Алтай_пш_3">[4]Лист1!$K$32</definedName>
    <definedName name="Алтай_пш_3_неопл">[4]Лист1!$L$32</definedName>
    <definedName name="Алтай_пш_3_своб">[4]Лист1!$I$32</definedName>
    <definedName name="амтьо">[0]!амтьо</definedName>
    <definedName name="АН">'[4]Хран сах '!#REF!</definedName>
    <definedName name="ангпа">[0]!ангпа</definedName>
    <definedName name="ангшщгш">[0]!ангшщгш</definedName>
    <definedName name="андгшдпг">[0]!андгшдпг</definedName>
    <definedName name="анлднгдгш">[0]!анлднгдгш</definedName>
    <definedName name="анпа">[0]!анпа</definedName>
    <definedName name="анрпа">[0]!анрпа</definedName>
    <definedName name="аншаншан">[0]!аншаншан</definedName>
    <definedName name="аншднгшдгшд">[0]!аншднгшдгшд</definedName>
    <definedName name="аншрлдрголшд">[0]!аншрлдрголшд</definedName>
    <definedName name="аоаопо">[0]!аоаопо</definedName>
    <definedName name="аоарапа" hidden="1">{"glc1",#N/A,FALSE,"GLC";"glc2",#N/A,FALSE,"GLC";"glc3",#N/A,FALSE,"GLC";"glc4",#N/A,FALSE,"GLC";"glc5",#N/A,FALSE,"GLC"}</definedName>
    <definedName name="аовео">[0]!аовео</definedName>
    <definedName name="аовыпарв">[0]!аовыпарв</definedName>
    <definedName name="аопаров">[0]!аопаров</definedName>
    <definedName name="аопаропо">[0]!аопаропо</definedName>
    <definedName name="аопренке">[0]!аопренке</definedName>
    <definedName name="ап" hidden="1">{"'Prices'!$A$4:$J$27"}</definedName>
    <definedName name="ап1">#REF!</definedName>
    <definedName name="ап2">#REF!</definedName>
    <definedName name="апавп">[4]Лист1!$I$2</definedName>
    <definedName name="АПАПАПА" hidden="1">{#N/A,#N/A,TRUE,"Буржуям"}</definedName>
    <definedName name="АПАПАПАП" hidden="1">{#N/A,#N/A,TRUE,"Буржуям"}</definedName>
    <definedName name="апапапапапа" hidden="1">{"glc1",#N/A,FALSE,"GLC";"glc2",#N/A,FALSE,"GLC";"glc3",#N/A,FALSE,"GLC";"glc4",#N/A,FALSE,"GLC";"glc5",#N/A,FALSE,"GLC"}</definedName>
    <definedName name="апнроен">[0]!апнроен</definedName>
    <definedName name="аповеноев">[0]!аповеноев</definedName>
    <definedName name="апп">[0]!апп</definedName>
    <definedName name="апппппппппппп" hidden="1">{"'Sheet1'!$A$1:$G$85"}</definedName>
    <definedName name="апр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апр03гр">#REF!</definedName>
    <definedName name="апр03руб.">#REF!</definedName>
    <definedName name="апр03у.е.">#REF!</definedName>
    <definedName name="апр04гр">#REF!</definedName>
    <definedName name="апр04руб.">#REF!</definedName>
    <definedName name="апр04у.е.">#REF!</definedName>
    <definedName name="апрапва">[0]!апрапва</definedName>
    <definedName name="апрара">[0]!апрара</definedName>
    <definedName name="апрарпыв">[0]!апрарпыв</definedName>
    <definedName name="апрврв">[0]!апрврв</definedName>
    <definedName name="апрель" hidden="1">{#N/A,#N/A,TRUE,"Буржуям"}</definedName>
    <definedName name="апровпо">[0]!апровпо</definedName>
    <definedName name="апрфыкп">[0]!апрфыкп</definedName>
    <definedName name="апрыав">[0]!апрыав</definedName>
    <definedName name="апрыара">[0]!апрыара</definedName>
    <definedName name="апрыо">[0]!апрыо</definedName>
    <definedName name="апрырыар">[0]!апрырыар</definedName>
    <definedName name="аптопопо">[0]!аптопопо</definedName>
    <definedName name="апфвапва">[0]!апфвапва</definedName>
    <definedName name="ар">'[88]исход-итог'!$C$2</definedName>
    <definedName name="Ар.ан">#REF!</definedName>
    <definedName name="Ар.С" hidden="1">#REF!</definedName>
    <definedName name="ар_ставка_офис" hidden="1">{"Inflation-BaseYear",#N/A,FALSE,"Inputs"}</definedName>
    <definedName name="ар3" hidden="1">{"assets",#N/A,FALSE,"historicBS";"liab",#N/A,FALSE,"historicBS";"is",#N/A,FALSE,"historicIS";"ratios",#N/A,FALSE,"ratios"}</definedName>
    <definedName name="арапл">#REF!</definedName>
    <definedName name="арараер">[0]!арараер</definedName>
    <definedName name="арарара" hidden="1">{"glc1",#N/A,FALSE,"GLC";"glc2",#N/A,FALSE,"GLC";"glc3",#N/A,FALSE,"GLC";"glc4",#N/A,FALSE,"GLC";"glc5",#N/A,FALSE,"GLC"}</definedName>
    <definedName name="арарппр">[0]!арарппр</definedName>
    <definedName name="араырвап">[0]!араырвап</definedName>
    <definedName name="арвкек">[0]!арвкек</definedName>
    <definedName name="аренда">[0]!аренда</definedName>
    <definedName name="аренда2">#REF!</definedName>
    <definedName name="Арендная_ставка">#REF!</definedName>
    <definedName name="Арендная_ставка_за_торговое_место____место_день">'[89]Метод остатка'!#REF!</definedName>
    <definedName name="арерр">[0]!арерр</definedName>
    <definedName name="ариври">#REF!</definedName>
    <definedName name="ароаровао">[0]!ароаровао</definedName>
    <definedName name="аровелн">[0]!аровелн</definedName>
    <definedName name="аропо">[0]!аропо</definedName>
    <definedName name="аррап" hidden="1">{#N/A,#N/A,FALSE,"Aging Summary";#N/A,#N/A,FALSE,"Ratio Analysis";#N/A,#N/A,FALSE,"Test 120 Day Accts";#N/A,#N/A,FALSE,"Tickmarks"}</definedName>
    <definedName name="аррвар">[0]!аррвар</definedName>
    <definedName name="аррп">[0]!аррп</definedName>
    <definedName name="арс">#REF!</definedName>
    <definedName name="АРСТ">[90]НФИк!$A$17</definedName>
    <definedName name="арт">#REF!</definedName>
    <definedName name="арыарыа">[0]!арыарыа</definedName>
    <definedName name="ассорт">'[4]Фин. вложения'!#REF!</definedName>
    <definedName name="атр">[4]Лист1!#REF!</definedName>
    <definedName name="АУР_пл">[4]Лист1!#REF!</definedName>
    <definedName name="АУР_РУ">#REF!</definedName>
    <definedName name="АУР_тек">[4]Лист1!$K$205</definedName>
    <definedName name="аур_уфа">[4]Лист1!#REF!</definedName>
    <definedName name="афвапп">[0]!афвапп</definedName>
    <definedName name="афваппва">[0]!афваппва</definedName>
    <definedName name="афпакукпк">[0]!афпакукпк</definedName>
    <definedName name="ашншнш">[0]!ашншнш</definedName>
    <definedName name="аыи" hidden="1">{"'Prices'!$A$4:$J$27"}</definedName>
    <definedName name="б" hidden="1">{#N/A,#N/A,FALSE,"Aging Summary";#N/A,#N/A,FALSE,"Ratio Analysis";#N/A,#N/A,FALSE,"Test 120 Day Accts";#N/A,#N/A,FALSE,"Tickmarks"}</definedName>
    <definedName name="б_К">#REF!</definedName>
    <definedName name="б_К_upper">#REF!</definedName>
    <definedName name="б_НГДО">#REF!</definedName>
    <definedName name="б_НГДО_upper">#REF!</definedName>
    <definedName name="б_НПЗ">#REF!</definedName>
    <definedName name="б_НПЗ_upper">#REF!</definedName>
    <definedName name="б_НПО">#REF!</definedName>
    <definedName name="б_НПО_upper">#REF!</definedName>
    <definedName name="б_п">#REF!</definedName>
    <definedName name="б_п_upper">#REF!</definedName>
    <definedName name="Б241">[0]!Weekday_count*[0]!Standard_Daily_Hours</definedName>
    <definedName name="_xlnm.Database">'[91]касса-казань-декабрь'!$A$1:$I$24</definedName>
    <definedName name="База_Сортировки">#REF!</definedName>
    <definedName name="байк.руб.">'[92]Гр+'!#REF!</definedName>
    <definedName name="байк.у.е.">'[92]Гр+'!#REF!</definedName>
    <definedName name="бакс">[93]Характеристика!$D$2</definedName>
    <definedName name="бал">#REF!</definedName>
    <definedName name="Бал2002" hidden="1">{#N/A,#N/A,TRUE,"Буржуям"}</definedName>
    <definedName name="Баланс" hidden="1">{#N/A,#N/A,FALSE,"INPUTS";#N/A,#N/A,FALSE,"PROFORMA BSHEET";#N/A,#N/A,FALSE,"COMBINED";#N/A,#N/A,FALSE,"ACQUIROR";#N/A,#N/A,FALSE,"TARGET 1";#N/A,#N/A,FALSE,"TARGET 2";#N/A,#N/A,FALSE,"HIGH YIELD";#N/A,#N/A,FALSE,"OVERFUND"}</definedName>
    <definedName name="Баланс2002" hidden="1">{#VALUE!,#N/A,TRUE,0}</definedName>
    <definedName name="БалКК">[94]ЛитБ!$G$351</definedName>
    <definedName name="балконы">#REF!</definedName>
    <definedName name="банк" hidden="1">{#N/A,#N/A,TRUE,"Буржуям"}</definedName>
    <definedName name="батареи">#REF!</definedName>
    <definedName name="ббб" hidden="1">{"NWN_Q1810",#N/A,FALSE,"Q1810_1.V";"NWN_Q1412",#N/A,FALSE,"Q1412_1"}</definedName>
    <definedName name="бббб" hidden="1">{#VALUE!,#N/A,TRUE,0}</definedName>
    <definedName name="бд">#REF!</definedName>
    <definedName name="БД_сег">[4]Лист1!#REF!</definedName>
    <definedName name="бдр" hidden="1">{"'РП (2)'!$A$5:$S$150"}</definedName>
    <definedName name="Бел_пес">[4]Хотмыжск!#REF!</definedName>
    <definedName name="Белгород_03">[4]Лист1!#REF!</definedName>
    <definedName name="Белгород_ячм_неопл">[4]Лист1!$L$127</definedName>
    <definedName name="белгород_ячм_своб">[4]Лист1!$I$127</definedName>
    <definedName name="Белгород_ячмень">[4]Лист1!$K$127</definedName>
    <definedName name="Белсв_02">[4]Лист1!#REF!</definedName>
    <definedName name="БЕТОН">'[56]см. ЦЕНЫ '!$B$143</definedName>
    <definedName name="бл">[51]П!#REF!</definedName>
    <definedName name="БЛАГОУСТРОЙСТВО">#REF!</definedName>
    <definedName name="бланк" hidden="1">{#N/A,#N/A,TRUE,"Буржуям"}</definedName>
    <definedName name="блокипенопол">#REF!</definedName>
    <definedName name="БН">'[4]Хран сах '!#REF!</definedName>
    <definedName name="бог.руб.">'[92]Гр+'!#REF!</definedName>
    <definedName name="бог.у.е.">'[92]Гр+'!#REF!</definedName>
    <definedName name="бог.физ.долг">#REF!</definedName>
    <definedName name="бог.юр.долг">#REF!</definedName>
    <definedName name="Больш_комисс">[4]MACRO!#REF!</definedName>
    <definedName name="Большевик_аванс">[4]Поступления!#REF!</definedName>
    <definedName name="бордюры">#REF!</definedName>
    <definedName name="БП">#REF!</definedName>
    <definedName name="БП1">[4]Лист1!#REF!</definedName>
    <definedName name="бык">'[4]Хран сах '!#REF!</definedName>
    <definedName name="Бык_02">[4]Лист1!#REF!</definedName>
    <definedName name="Бык_03">[4]Лист1!#REF!</definedName>
    <definedName name="бюд" hidden="1">{#N/A,#N/A,TRUE,"Буржуям"}</definedName>
    <definedName name="бюд.м.">'[4]#ССЫЛКА'!$J$3</definedName>
    <definedName name="бюджет" hidden="1">{"'РП (2)'!$A$5:$S$150"}</definedName>
    <definedName name="В">#REF!</definedName>
    <definedName name="в_1">#REF!</definedName>
    <definedName name="в_2">#REF!</definedName>
    <definedName name="в_7пер">[4]Лист1!#REF!</definedName>
    <definedName name="в_L282">#REF!</definedName>
    <definedName name="В_L425">#REF!</definedName>
    <definedName name="в_L426">#REF!</definedName>
    <definedName name="В_Бел_долл">'[4]#ССЫЛКА'!$E$44</definedName>
    <definedName name="в_ВС_оао">[4]Лист1!$C$304</definedName>
    <definedName name="в_ВС_рз">[4]Лист1!$C$298</definedName>
    <definedName name="в_ВС_рз1">[4]Лист1!$C$299</definedName>
    <definedName name="в_ВС_рпк">[4]Лист1!$C$301</definedName>
    <definedName name="в_ВС_рск">[4]Лист1!$C$300</definedName>
    <definedName name="в_ВС_рц">#REF!</definedName>
    <definedName name="в_гов_з_рос">#REF!</definedName>
    <definedName name="в_говхр">#REF!</definedName>
    <definedName name="В_ДБ">[4]d_pok!#REF!</definedName>
    <definedName name="В_ДБ_Бел_3п">[4]d_pok!#REF!</definedName>
    <definedName name="в_день_долл">#REF!</definedName>
    <definedName name="в_день_руб">#REF!</definedName>
    <definedName name="в_дл_пр">[4]Лист1!$K$199</definedName>
    <definedName name="В_ЗЕР_Бел_Згр">'[4]за месяц'!#REF!</definedName>
    <definedName name="в_ин">[4]Лист1!$K$239</definedName>
    <definedName name="в_ин_ду">[4]Лист1!$K$241</definedName>
    <definedName name="в_ин_немат">#REF!</definedName>
    <definedName name="в_ин_ос">[4]Лист1!$K$240</definedName>
    <definedName name="в_ин_рз">[4]Лист1!#REF!</definedName>
    <definedName name="в_инв_проч">#REF!</definedName>
    <definedName name="в_инв_рз">#REF!</definedName>
    <definedName name="в_инв_рз1">#REF!</definedName>
    <definedName name="в_инво">#REF!</definedName>
    <definedName name="в_капи">#REF!</definedName>
    <definedName name="в_лог">[4]Лист1!$K$198</definedName>
    <definedName name="в_масл_ЛД">#REF!</definedName>
    <definedName name="в_оаво_б">#REF!</definedName>
    <definedName name="в_оао_3тр">#REF!</definedName>
    <definedName name="в_оао_4">#REF!</definedName>
    <definedName name="в_оао_5">#REF!</definedName>
    <definedName name="В_ОАО_Бел">[4]d_pok!#REF!</definedName>
    <definedName name="В_ОАО_Бел_3гр">[4]d_pok!#REF!</definedName>
    <definedName name="в_оао_з">#REF!</definedName>
    <definedName name="в_оао_п3">#REF!</definedName>
    <definedName name="в_оао_проч">#REF!</definedName>
    <definedName name="в_оао_пф">#REF!</definedName>
    <definedName name="в_оао_трп">#REF!</definedName>
    <definedName name="в_оао_яч">#REF!</definedName>
    <definedName name="в_пз_прос">#REF!</definedName>
    <definedName name="в_пз_проч1">#REF!</definedName>
    <definedName name="в_пз_прочком">#REF!</definedName>
    <definedName name="в_пк_12">#REF!</definedName>
    <definedName name="в_пк_г_тр">[4]Лист1!$K$175</definedName>
    <definedName name="в_пк_г_хр">[4]Лист1!$K$176</definedName>
    <definedName name="в_пк_гов_з">[4]Лист1!$K$174</definedName>
    <definedName name="в_пк_гсер">[4]Лист1!$K$177</definedName>
    <definedName name="в_пк_гт_сер">[4]Лист1!$K$191</definedName>
    <definedName name="в_пк_гт_тр">[4]Лист1!$K$190</definedName>
    <definedName name="в_пк_гтам">[4]Лист1!$K$178</definedName>
    <definedName name="в_пк_каз_з">[4]Лист1!$K$180</definedName>
    <definedName name="в_пк_ма">#REF!</definedName>
    <definedName name="в_пк_мас_хр">[4]Лист1!$K$179</definedName>
    <definedName name="в_пк_пом">#REF!</definedName>
    <definedName name="в_пк_проч">#REF!</definedName>
    <definedName name="в_пк_рек">[4]Лист1!$K$192</definedName>
    <definedName name="в_пк_см_з">[4]Лист1!$K$183</definedName>
    <definedName name="в_пк_см_сер">[4]Лист1!$K$186</definedName>
    <definedName name="в_пк_смтам">[4]Лист1!$K$184</definedName>
    <definedName name="в_пк_смхр">[4]Лист1!$K$185</definedName>
    <definedName name="в_пк_тр">#REF!</definedName>
    <definedName name="в_проч_1">#REF!</definedName>
    <definedName name="в_пути">[4]Лист1!$G$79</definedName>
    <definedName name="в_пф_серт">#REF!</definedName>
    <definedName name="в_пш3кл">#REF!</definedName>
    <definedName name="в_рз_3кз">[4]Лист1!$K$129</definedName>
    <definedName name="В_РЗ_Бел">[4]d_pok!#REF!</definedName>
    <definedName name="В_РЗ_Бел_3гр">[4]d_pok!#REF!</definedName>
    <definedName name="в_рз_воз1">#REF!</definedName>
    <definedName name="в_рз_гр_тр">[4]Лист1!$K$111</definedName>
    <definedName name="в_рз_з">#REF!</definedName>
    <definedName name="в_рз_кук">#REF!</definedName>
    <definedName name="в_рз_мас_серт">[4]Лист1!$K$118</definedName>
    <definedName name="в_рз_мас_там">[4]Лист1!$K$116</definedName>
    <definedName name="в_рз_мас_тр">[4]Лист1!$K$117</definedName>
    <definedName name="в_рз_мас_хр">#REF!</definedName>
    <definedName name="в_рз_масз">[4]Лист1!$K$133</definedName>
    <definedName name="в_рз_овз">#REF!</definedName>
    <definedName name="в_рз_охрц">#REF!</definedName>
    <definedName name="в_рз_п3_тр">[4]Лист1!$K$126</definedName>
    <definedName name="в_рз_подз">[4]Лист1!$K$131</definedName>
    <definedName name="в_рз_поч_ком">#REF!</definedName>
    <definedName name="в_рз_пр_тр">[4]Лист1!$K$113</definedName>
    <definedName name="в_рз_про">#REF!</definedName>
    <definedName name="В_РЗ_прос_пер">[4]Лист1!$K$114</definedName>
    <definedName name="в_рз_проч">#REF!</definedName>
    <definedName name="в_рз_проч1">#REF!</definedName>
    <definedName name="в_рз_проч3кл">#REF!</definedName>
    <definedName name="в_рз_пф_тр">[4]Лист1!$K$120</definedName>
    <definedName name="в_рз_пфз">[4]Лист1!$K$132</definedName>
    <definedName name="в_рз_пфтам">#REF!</definedName>
    <definedName name="в_рз_пш3_сер">#REF!</definedName>
    <definedName name="в_рз_рег">#REF!</definedName>
    <definedName name="в_рз_риис">#REF!</definedName>
    <definedName name="в_рз_ро">#REF!</definedName>
    <definedName name="в_рз_рпо">#REF!</definedName>
    <definedName name="в_рз_сан">#REF!</definedName>
    <definedName name="в_рз_сро">#REF!</definedName>
    <definedName name="в_рз_тряч">#REF!</definedName>
    <definedName name="в_рз_хр">#REF!</definedName>
    <definedName name="в_рз_яч_серт">[4]Лист1!$K$123</definedName>
    <definedName name="в_рз_яч_тр">[4]Лист1!$K$122</definedName>
    <definedName name="в_рз_яч_хр">[4]Лист1!$K$124</definedName>
    <definedName name="в_рз_ячз">[4]Лист1!$K$130</definedName>
    <definedName name="в_рз_ячхр">#REF!</definedName>
    <definedName name="в_рп_т">#REF!</definedName>
    <definedName name="в_рп_уб">#REF!</definedName>
    <definedName name="В_РПК_Бел_2гр">[4]d_pok!#REF!</definedName>
    <definedName name="В_РПК_Бел_3гр">[4]d_pok!#REF!</definedName>
    <definedName name="в_рпк_инк">#REF!</definedName>
    <definedName name="в_рпк_проч_гов">#REF!</definedName>
    <definedName name="в_рпоч_ком">#REF!</definedName>
    <definedName name="в_рпоч_рек">#REF!</definedName>
    <definedName name="в_рпочие">#REF!</definedName>
    <definedName name="в_рпроч_инк">#REF!</definedName>
    <definedName name="В_РСК">[4]d_pok!#REF!</definedName>
    <definedName name="в_рск_ар">#REF!</definedName>
    <definedName name="в_рск_б">#REF!</definedName>
    <definedName name="В_РСК_Бел_1гр">[4]d_pok!#REF!</definedName>
    <definedName name="В_РСК_Бел_2гр">[4]d_pok!#REF!</definedName>
    <definedName name="В_РСК_Бел_3гр">[4]d_pok!#REF!</definedName>
    <definedName name="в_рск_пер4">#REF!</definedName>
    <definedName name="в_рск_у">#REF!</definedName>
    <definedName name="в_ру_сер">[4]Лист1!$K$196</definedName>
    <definedName name="в_ру_там">[4]Лист1!$K$197</definedName>
    <definedName name="в_ру_тр">[4]Лист1!$K$195</definedName>
    <definedName name="В_РУфа">[4]d_pok!#REF!</definedName>
    <definedName name="в_ск_3с_з">[4]Лист1!$K$150</definedName>
    <definedName name="в_ск_3с_стр">[4]Лист1!$K$154</definedName>
    <definedName name="в_ск_3с_там">[4]Лист1!$K$155</definedName>
    <definedName name="в_ск_3с_тр">[4]Лист1!$K$153</definedName>
    <definedName name="в_ск_3с_тр_гр">[4]Лист1!$K$151</definedName>
    <definedName name="в_ск_3с_тр_зав">[4]Лист1!$K$152</definedName>
    <definedName name="в_ск_4с_зфц">[4]Лист1!$K$157</definedName>
    <definedName name="в_ск_4с_стр">[4]Лист1!$K$163</definedName>
    <definedName name="в_ск_4с_тр">[4]Лист1!$K$162</definedName>
    <definedName name="в_ск_4с_трз">[4]Лист1!$K$161</definedName>
    <definedName name="в_ск_4с_трпер">[4]Лист1!$K$159</definedName>
    <definedName name="в_ск_4сз">[4]Лист1!$K$156</definedName>
    <definedName name="в_ск_5с_зфц">[4]Лист1!$K$164</definedName>
    <definedName name="в_ск_бол_св">[4]Лист1!$K$143</definedName>
    <definedName name="в_ск_буин_св">[4]Лист1!$K$142</definedName>
    <definedName name="в_ск_г_пер">[4]Лист1!$K$160</definedName>
    <definedName name="в_ск_г_пер_тр">[4]Лист1!$K$146</definedName>
    <definedName name="в_ск_г_сер">[4]Лист1!$K$147</definedName>
    <definedName name="в_ск_г_стр">[4]Лист1!$K$148</definedName>
    <definedName name="в_ск_г_там">[4]Лист1!$K$149</definedName>
    <definedName name="в_ск_г_тр">[4]Лист1!$K$144</definedName>
    <definedName name="в_ск_г_тр_зав">[4]Лист1!$K$145</definedName>
    <definedName name="в_ск_ждсах">#REF!</definedName>
    <definedName name="в_ск_к_сер">[4]Лист1!$K$139</definedName>
    <definedName name="в_ск_ксах_тр">[4]Лист1!$K$141</definedName>
    <definedName name="в_ск_ктр">[4]Лист1!$K$137</definedName>
    <definedName name="в_ск_ктр_пер">[4]Лист1!$K$138</definedName>
    <definedName name="в_ск_почком">#REF!</definedName>
    <definedName name="в_ск_пр">[4]Лист1!$K$169</definedName>
    <definedName name="в_ск_пр_ар">[4]Лист1!$K$165</definedName>
    <definedName name="в_ск_пр_пог">[4]Лист1!$K$168</definedName>
    <definedName name="в_ск_пр_проц">[4]Лист1!$K$167</definedName>
    <definedName name="в_ск_про_рем">[4]Лист1!$K$166</definedName>
    <definedName name="в_ск_проч_реор">#REF!</definedName>
    <definedName name="в_ск_проч5">#REF!</definedName>
    <definedName name="в_ск_прочзд">#REF!</definedName>
    <definedName name="в_ск_прочк">#REF!</definedName>
    <definedName name="в_ск_прочохр">#REF!</definedName>
    <definedName name="в_ск_сетр2">#REF!</definedName>
    <definedName name="в_ск_там1">#REF!</definedName>
    <definedName name="в_ск_там3">#REF!</definedName>
    <definedName name="в_ск4там">#REF!</definedName>
    <definedName name="в_сыр5">#REF!</definedName>
    <definedName name="в_сыр6">#REF!</definedName>
    <definedName name="в_сыр6там">#REF!</definedName>
    <definedName name="в_тк_к">[4]Лист1!$K$108</definedName>
    <definedName name="в_туш">#REF!</definedName>
    <definedName name="в_тф">#REF!</definedName>
    <definedName name="в_тф_воз">#REF!</definedName>
    <definedName name="в_тф_зак">#REF!</definedName>
    <definedName name="в_тф_зак1">#REF!</definedName>
    <definedName name="в_тф_проч">#REF!</definedName>
    <definedName name="в_тф_пф">#REF!</definedName>
    <definedName name="в_тф_рожь">#REF!</definedName>
    <definedName name="в_тф_тр">#REF!</definedName>
    <definedName name="в_фин">[4]Лист1!$K$247</definedName>
    <definedName name="в_фин_ав">#REF!</definedName>
    <definedName name="в_фин_к">#REF!</definedName>
    <definedName name="в_фин_крат">[4]Лист1!$K$248</definedName>
    <definedName name="в_фин_опгкредъ">#REF!</definedName>
    <definedName name="в_фин_пог_итог">#REF!</definedName>
    <definedName name="в_фин_пр">#REF!</definedName>
    <definedName name="в_фин_пр_сен2">#REF!</definedName>
    <definedName name="в_фин_проц">[4]Лист1!$K$250</definedName>
    <definedName name="в_фин1">#REF!</definedName>
    <definedName name="в_фин2">#REF!</definedName>
    <definedName name="в_фин3">#REF!</definedName>
    <definedName name="в_фин4">#REF!</definedName>
    <definedName name="в_фин5">#REF!</definedName>
    <definedName name="в_фин6">#REF!</definedName>
    <definedName name="в_фин7">#REF!</definedName>
    <definedName name="в_финдлор">#REF!</definedName>
    <definedName name="в_финдлр">#REF!</definedName>
    <definedName name="в_штр">[4]Лист1!$K$200</definedName>
    <definedName name="в_яч_зак1">#REF!</definedName>
    <definedName name="в_ячтамо">#REF!</definedName>
    <definedName name="в1">#REF!</definedName>
    <definedName name="В1_НГДО">#REF!</definedName>
    <definedName name="В1_НГДО_upper">#REF!</definedName>
    <definedName name="В1_НПЗ">#REF!</definedName>
    <definedName name="В1_НПЗ_upper">#REF!</definedName>
    <definedName name="В1_НПО">#REF!</definedName>
    <definedName name="В1_НПО_upper">#REF!</definedName>
    <definedName name="В18">'[42]матер.(октябрь)'!#REF!</definedName>
    <definedName name="в2">#REF!</definedName>
    <definedName name="В2_НГДО">#REF!</definedName>
    <definedName name="В2_НГДО_upper">#REF!</definedName>
    <definedName name="В2_НПЗ">#REF!</definedName>
    <definedName name="В2_НПЗ_upper">#REF!</definedName>
    <definedName name="В2_НПО">#REF!</definedName>
    <definedName name="В2_НПО_upper">#REF!</definedName>
    <definedName name="в3">#REF!</definedName>
    <definedName name="в3_НГДО">#REF!</definedName>
    <definedName name="в3_НГДО_upper">#REF!</definedName>
    <definedName name="в3_НПЗ">#REF!</definedName>
    <definedName name="в3_НПЗ_upper">#REF!</definedName>
    <definedName name="в3_НПО">#REF!</definedName>
    <definedName name="в3_НПО_upper">#REF!</definedName>
    <definedName name="в4">#REF!</definedName>
    <definedName name="в44">#REF!</definedName>
    <definedName name="в5">#REF!</definedName>
    <definedName name="в6">#REF!</definedName>
    <definedName name="в7">[4]Лист1!#REF!</definedName>
    <definedName name="вL106">#REF!</definedName>
    <definedName name="вL116">#REF!</definedName>
    <definedName name="вL119">#REF!</definedName>
    <definedName name="вL122">#REF!</definedName>
    <definedName name="вL133">#REF!</definedName>
    <definedName name="ВL138">#REF!</definedName>
    <definedName name="вL141">#REF!</definedName>
    <definedName name="вL146">#REF!</definedName>
    <definedName name="вL148">#REF!</definedName>
    <definedName name="вL150">#REF!</definedName>
    <definedName name="ВL151">#REF!</definedName>
    <definedName name="вL154">#REF!</definedName>
    <definedName name="вL157">#REF!</definedName>
    <definedName name="вL158">#REF!</definedName>
    <definedName name="вL159">#REF!</definedName>
    <definedName name="вL164">#REF!</definedName>
    <definedName name="вL166">#REF!</definedName>
    <definedName name="вL211">#REF!</definedName>
    <definedName name="вL213">#REF!</definedName>
    <definedName name="вL216">#REF!</definedName>
    <definedName name="вL217">#REF!</definedName>
    <definedName name="вL219">#REF!</definedName>
    <definedName name="вL227">#REF!</definedName>
    <definedName name="ВL241">#REF!</definedName>
    <definedName name="ВL242">#REF!</definedName>
    <definedName name="вL279">#REF!</definedName>
    <definedName name="вL282">#REF!</definedName>
    <definedName name="вL283">#REF!</definedName>
    <definedName name="вL284">#REF!</definedName>
    <definedName name="вL285">#REF!</definedName>
    <definedName name="вL286">#REF!</definedName>
    <definedName name="вL287">#REF!</definedName>
    <definedName name="вL291">#REF!</definedName>
    <definedName name="вL294">#REF!</definedName>
    <definedName name="вL295">#REF!</definedName>
    <definedName name="вL296">#REF!</definedName>
    <definedName name="вL297">#REF!</definedName>
    <definedName name="ВL298">#REF!</definedName>
    <definedName name="вL301">#REF!</definedName>
    <definedName name="ВL31">#REF!</definedName>
    <definedName name="вL310">#REF!</definedName>
    <definedName name="вL319">#REF!</definedName>
    <definedName name="вL322">#REF!</definedName>
    <definedName name="вL323">#REF!</definedName>
    <definedName name="вL324">#REF!</definedName>
    <definedName name="вl33">[4]Лист1!#REF!</definedName>
    <definedName name="вL34">#REF!</definedName>
    <definedName name="вL345">#REF!</definedName>
    <definedName name="вL346">#REF!</definedName>
    <definedName name="вL347">#REF!</definedName>
    <definedName name="ВL35">#REF!</definedName>
    <definedName name="вL350">#REF!</definedName>
    <definedName name="вL354">#REF!</definedName>
    <definedName name="вL366">#REF!</definedName>
    <definedName name="вL367">#REF!</definedName>
    <definedName name="вL368">#REF!</definedName>
    <definedName name="вL380">#REF!</definedName>
    <definedName name="вL399">#REF!</definedName>
    <definedName name="вL400">#REF!</definedName>
    <definedName name="вL401">#REF!</definedName>
    <definedName name="вL402">#REF!</definedName>
    <definedName name="вL403">#REF!</definedName>
    <definedName name="вL414">#REF!</definedName>
    <definedName name="вL415">#REF!</definedName>
    <definedName name="вL416">#REF!</definedName>
    <definedName name="вL423">#REF!</definedName>
    <definedName name="вL426">#REF!</definedName>
    <definedName name="ВL458">#REF!</definedName>
    <definedName name="ВL470">#REF!</definedName>
    <definedName name="вL55">#REF!</definedName>
    <definedName name="вL73">#REF!</definedName>
    <definedName name="вL94">#REF!</definedName>
    <definedName name="вL97">#REF!</definedName>
    <definedName name="вV38">#REF!</definedName>
    <definedName name="ва">#REF!</definedName>
    <definedName name="ваавр">[0]!ваавр</definedName>
    <definedName name="ваапе">[0]!ваапе</definedName>
    <definedName name="ВАВАВА" hidden="1">{#N/A,#N/A,TRUE,"Буржуям"}</definedName>
    <definedName name="вавапва">[0]!вавапва</definedName>
    <definedName name="ваиапа">[0]!ваиапа</definedName>
    <definedName name="ваирв">[0]!ваирв</definedName>
    <definedName name="ваиывап">[0]!ваиывап</definedName>
    <definedName name="валор" hidden="1">{"'Sheet1'!$A$1:$G$85"}</definedName>
    <definedName name="ВалП1">[4]Лист1!#REF!</definedName>
    <definedName name="Валрент_всего">#REF!</definedName>
    <definedName name="валюта">[4]Лист1!$Y$1</definedName>
    <definedName name="вано" hidden="1">{#N/A,#N/A,FALSE,"Расчет вспомогательных"}</definedName>
    <definedName name="ваоароперпо">[0]!ваоароперпо</definedName>
    <definedName name="ваоп">[0]!ваоп</definedName>
    <definedName name="ваопао">[0]!ваопао</definedName>
    <definedName name="ваопоьопр">[0]!ваопоьопр</definedName>
    <definedName name="вап">[0]!вап</definedName>
    <definedName name="вапр" hidden="1">{#N/A,#N/A,FALSE,"Расчет вспомогательных"}</definedName>
    <definedName name="вапра">[0]!вапра</definedName>
    <definedName name="ваприпрпо">[0]!ваприпрпо</definedName>
    <definedName name="вапро">[0]!вапро</definedName>
    <definedName name="вапроп" hidden="1">{"'Sheet1'!$A$1:$G$85"}</definedName>
    <definedName name="варапрар">[0]!варапрар</definedName>
    <definedName name="Вариант">#REF!</definedName>
    <definedName name="варпыарыа">[0]!варпыарыа</definedName>
    <definedName name="варрар">[0]!варрар</definedName>
    <definedName name="ваф" hidden="1">{"'РП (2)'!$A$5:$S$150"}</definedName>
    <definedName name="ваыа">[0]!ваыа</definedName>
    <definedName name="ваыпипаап">[0]!ваыпипаап</definedName>
    <definedName name="ваьпрьл">[0]!ваьпрьл</definedName>
    <definedName name="вв" hidden="1">{#N/A,#N/A,FALSE,"Aging Summary";#N/A,#N/A,FALSE,"Ratio Analysis";#N/A,#N/A,FALSE,"Test 120 Day Accts";#N/A,#N/A,FALSE,"Tickmarks"}</definedName>
    <definedName name="ВВ_Бел">'[4]#ССЫЛКА'!$D$44</definedName>
    <definedName name="ВВ_ДБ">[4]d_pok!#REF!</definedName>
    <definedName name="ВВ_ОАО_Бел">[4]d_pok!#REF!</definedName>
    <definedName name="ВВ_РСК">[4]d_pok!#REF!</definedName>
    <definedName name="ВВ_РСК_Бел_1гр">[4]d_pok!#REF!</definedName>
    <definedName name="ВВ_РСК_Бел_2гр">[4]d_pok!#REF!</definedName>
    <definedName name="ВВ_РУфа">[4]d_pok!#REF!</definedName>
    <definedName name="вва" hidden="1">#REF!</definedName>
    <definedName name="вваыв" hidden="1">#REF!</definedName>
    <definedName name="ввв">[95]Здания!$B$7:$B$13</definedName>
    <definedName name="вввв" hidden="1">{#N/A,#N/A,TRUE,"Буржуям"}</definedName>
    <definedName name="вввввввв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ввввввввввввв" hidden="1">{"'Sheet1'!$A$1:$G$85"}</definedName>
    <definedName name="ввд">[0]!ввд</definedName>
    <definedName name="ввн">[0]!ввн</definedName>
    <definedName name="ВВЫЫ" hidden="1">{#N/A,#N/A,TRUE,"Буржуям"}</definedName>
    <definedName name="ВД_в_наполнении_авансов_старых__на_начало_периода">'[4]#ССЫЛКА'!$V$4</definedName>
    <definedName name="ВДР">#REF!</definedName>
    <definedName name="ВДРНП">#REF!</definedName>
    <definedName name="ВДС">#REF!</definedName>
    <definedName name="вег" hidden="1">{#N/A,#N/A,TRUE,"Буржуям"}</definedName>
    <definedName name="вегшнгдщгшд">[0]!вегшнгдщгшд</definedName>
    <definedName name="веелрл">[0]!веелрл</definedName>
    <definedName name="веенлв">[0]!веенлв</definedName>
    <definedName name="Величина_Сов_Износа">#REF!</definedName>
    <definedName name="велшгншлпнгдщ">[0]!велшгншлпнгдщ</definedName>
    <definedName name="венгегв">[0]!венгегв</definedName>
    <definedName name="венглшанщлшгш">[0]!венглшанщлшгш</definedName>
    <definedName name="венгнагшнпг">[0]!венгнагшнпг</definedName>
    <definedName name="венгшенгшен">[0]!венгшенгшен</definedName>
    <definedName name="венгщщг">[0]!венгщщг</definedName>
    <definedName name="венегае">[0]!венегае</definedName>
    <definedName name="венеген">[0]!венеген</definedName>
    <definedName name="веновен">[0]!веновен</definedName>
    <definedName name="венп">[0]!венп</definedName>
    <definedName name="вео">[0]!вео</definedName>
    <definedName name="веполл">[0]!веполл</definedName>
    <definedName name="вефч" hidden="1">{#N/A,#N/A,FALSE,"Virgin Flightdeck"}</definedName>
    <definedName name="вефч1" hidden="1">{#N/A,#N/A,FALSE,"Virgin Flightdeck"}</definedName>
    <definedName name="вешншнг">[0]!вешншнг</definedName>
    <definedName name="вз">[4]MACRO!$F$76</definedName>
    <definedName name="вз_1">[4]Лист1!$H$19</definedName>
    <definedName name="вз_11">[4]Лист1!$J$19</definedName>
    <definedName name="вз_12">[4]Лист1!$J$20</definedName>
    <definedName name="вз_13">[4]Лист1!$J$21</definedName>
    <definedName name="вз_14">[4]Лист1!$J$22</definedName>
    <definedName name="вз_15">[4]Лист1!$J$23</definedName>
    <definedName name="вз_16">[4]Лист1!$J$26</definedName>
    <definedName name="вз_2">[4]Лист1!$H$20</definedName>
    <definedName name="вз_3">[4]Лист1!$H$21</definedName>
    <definedName name="вз_4">[4]Лист1!$H$22</definedName>
    <definedName name="вз_5">[4]Лист1!$H$23</definedName>
    <definedName name="вз_6">[4]Лист1!$H$26</definedName>
    <definedName name="вз2">[4]Лист1!$F$45</definedName>
    <definedName name="взд" hidden="1">{"NWN_Q1810",#N/A,FALSE,"Q1810_1.V";"NWN_Q1412",#N/A,FALSE,"Q1412_1"}</definedName>
    <definedName name="взносы" hidden="1">{#N/A,#N/A,TRUE,"Буржуям"}</definedName>
    <definedName name="вид_дохода">'[96]расш доходов'!$B$13:$B$24</definedName>
    <definedName name="вид_имущества">[96]расш_ББ_1!$B$15:$B$26</definedName>
    <definedName name="вид_расхода">'[96]расш расходов'!$B$13:$B$33</definedName>
    <definedName name="вирвап">[0]!вирвап</definedName>
    <definedName name="вкаыр" hidden="1">{"glc1",#N/A,FALSE,"GLC";"glc2",#N/A,FALSE,"GLC";"glc3",#N/A,FALSE,"GLC";"glc4",#N/A,FALSE,"GLC";"glc5",#N/A,FALSE,"GLC"}</definedName>
    <definedName name="ВКЗ">'[4]Кред. задолж.'!$F$34</definedName>
    <definedName name="ВКЗ_кз">[4]MACRO!$G$99</definedName>
    <definedName name="ВКЗ_прц">'[4]Кред. задолж.'!$G$48</definedName>
    <definedName name="вклад" hidden="1">{#N/A,#N/A,TRUE,"Буржуям"}</definedName>
    <definedName name="вкрер" hidden="1">{#N/A,#N/A,FALSE,"Расчет вспомогательных"}</definedName>
    <definedName name="вла" hidden="1">{#N/A,#N/A,FALSE,"Aging Summary";#N/A,#N/A,FALSE,"Ratio Analysis";#N/A,#N/A,FALSE,"Test 120 Day Accts";#N/A,#N/A,FALSE,"Tickmarks"}</definedName>
    <definedName name="ВМ">'[4]Фин. вложения'!$D$45</definedName>
    <definedName name="ВН">#REF!</definedName>
    <definedName name="внгглгшдз">[0]!внгглгшдз</definedName>
    <definedName name="ВНДС">#REF!</definedName>
    <definedName name="вноевро">[0]!вноевро</definedName>
    <definedName name="вноыуек">[0]!вноыуек</definedName>
    <definedName name="ВНПТБХ">#REF!</definedName>
    <definedName name="ВНСР">#REF!</definedName>
    <definedName name="ВНСЭ">#REF!</definedName>
    <definedName name="ВНУСЛ">#REF!</definedName>
    <definedName name="внутр_перем_1">[4]Лист1!$V$3:$V$55</definedName>
    <definedName name="внутр_перем_2">[4]Лист1!$V$166:$V$218</definedName>
    <definedName name="внутр_перемещ">[4]Лист1!$V$3:$V$218</definedName>
    <definedName name="воаоно">[0]!воаоно</definedName>
    <definedName name="водоснаб">#REF!</definedName>
    <definedName name="Водоснабжение">[97]Исходник!$S$4:$S$6</definedName>
    <definedName name="воепоп">[0]!воепоп</definedName>
    <definedName name="воз_ф">[4]Лист1!$F$10</definedName>
    <definedName name="воз_ф2">[4]Лист1!$F$19</definedName>
    <definedName name="Волг_пш_5_своб">[4]Лист1!$I$61</definedName>
    <definedName name="Волгогр_пш_3">[4]Лист1!$K$34</definedName>
    <definedName name="Волгогр_пш_3_неопл">[4]Лист1!$L$34</definedName>
    <definedName name="Волгогр_пш_3_своб">[4]Лист1!$I$34</definedName>
    <definedName name="Волгогр_пш_фур_неопл">[4]Лист1!$L$61</definedName>
    <definedName name="Волгоград_пш_5">[4]Лист1!$K$61</definedName>
    <definedName name="Волгоград_пш_5_своб">[4]Лист1!$I$61</definedName>
    <definedName name="Волгоград_ячм_неопл">[4]Лист1!$L$131</definedName>
    <definedName name="Волгоград_ячм_своб">[4]Лист1!$I$131</definedName>
    <definedName name="Волгоград_ячмень">[4]Лист1!$K$131</definedName>
    <definedName name="Володарка_креРЗ">[4]Лист1!$F$135</definedName>
    <definedName name="вон">[0]!вон</definedName>
    <definedName name="вопот">[0]!вопот</definedName>
    <definedName name="вопроае">[0]!вопроае</definedName>
    <definedName name="вопрово">[0]!вопрово</definedName>
    <definedName name="вопроноено">[0]!вопроноено</definedName>
    <definedName name="вопрорп">[0]!вопрорп</definedName>
    <definedName name="ворк_02">[4]Лист1!#REF!</definedName>
    <definedName name="ворнеарв">[0]!ворнеарв</definedName>
    <definedName name="ворпеопрор">[0]!ворпеопрор</definedName>
    <definedName name="Ворск_03">[4]Лист1!#REF!</definedName>
    <definedName name="вота">[0]!вота</definedName>
    <definedName name="вп">#REF!</definedName>
    <definedName name="впавпавпа" hidden="1">[84]MAIN!#REF!</definedName>
    <definedName name="впавпас" hidden="1">[84]MAIN!#REF!</definedName>
    <definedName name="впарров">[0]!впарров</definedName>
    <definedName name="впеао">[0]!впеао</definedName>
    <definedName name="впелрл">[0]!впелрл</definedName>
    <definedName name="впеов">[0]!впеов</definedName>
    <definedName name="вплл">[0]!вплл</definedName>
    <definedName name="впро" hidden="1">{#N/A,#N/A,TRUE,"Буржуям"}</definedName>
    <definedName name="впропр">[0]!впропр</definedName>
    <definedName name="впроч">#REF!</definedName>
    <definedName name="вптьо">[0]!вптьо</definedName>
    <definedName name="впь">[0]!впь</definedName>
    <definedName name="впьа">[0]!впьа</definedName>
    <definedName name="впьвто">[0]!впьвто</definedName>
    <definedName name="впьри">[0]!впьри</definedName>
    <definedName name="впьрь">[0]!впьрь</definedName>
    <definedName name="ВР1">[4]Лист1!#REF!</definedName>
    <definedName name="врвапфыв">[0]!врвапфыв</definedName>
    <definedName name="времдороги">#REF!</definedName>
    <definedName name="времндороги">[98]благоустр.!#REF!</definedName>
    <definedName name="ВРО1">[4]Лист1!#REF!</definedName>
    <definedName name="вролод">[0]!вролод</definedName>
    <definedName name="вс" hidden="1">{#N/A,#N/A,FALSE,"Aging Summary";#N/A,#N/A,FALSE,"Ratio Analysis";#N/A,#N/A,FALSE,"Test 120 Day Accts";#N/A,#N/A,FALSE,"Tickmarks"}</definedName>
    <definedName name="вс1">[4]Лист1!#REF!</definedName>
    <definedName name="вс2">[4]Лист1!#REF!</definedName>
    <definedName name="вс3">[4]Лист1!#REF!</definedName>
    <definedName name="Всего">#REF!</definedName>
    <definedName name="всего_Д">#REF!</definedName>
    <definedName name="ВСР">#REF!</definedName>
    <definedName name="вст">#REF!</definedName>
    <definedName name="вставка" hidden="1">{#N/A,#N/A,TRUE,"Буржуям"}</definedName>
    <definedName name="встр.пр.од.руб.">'[92]Гр+'!#REF!</definedName>
    <definedName name="встр.пр.од.у.е.">'[92]Гр+'!#REF!</definedName>
    <definedName name="ВСЭ">#REF!</definedName>
    <definedName name="вся" hidden="1">{#N/A,#N/A,FALSE,"Aging Summary";#N/A,#N/A,FALSE,"Ratio Analysis";#N/A,#N/A,FALSE,"Test 120 Day Accts";#N/A,#N/A,FALSE,"Tickmarks"}</definedName>
    <definedName name="ВСЯКИЕ">'[56]см. ЦЕНЫ '!$B$251</definedName>
    <definedName name="вт">#REF!</definedName>
    <definedName name="втам">#REF!</definedName>
    <definedName name="ВторРазмОфКонв">[99]Параметры!#REF!</definedName>
    <definedName name="ВторРазмФинОф">[99]Параметры!#REF!</definedName>
    <definedName name="втыавит" hidden="1">#REF!</definedName>
    <definedName name="втьопьо">[0]!втьопьо</definedName>
    <definedName name="вуекгу5екг">[0]!вуекгу5екг</definedName>
    <definedName name="вуекуену">[0]!вуекуену</definedName>
    <definedName name="вупаеорпр">[0]!вупаеорпр</definedName>
    <definedName name="вупрыр">[0]!вупрыр</definedName>
    <definedName name="вур">[0]!вур</definedName>
    <definedName name="вф">[4]Лист1!#REF!</definedName>
    <definedName name="вфыфыва" hidden="1">{"'Sheet1'!$A$12:$K$107"}</definedName>
    <definedName name="вх">#REF!</definedName>
    <definedName name="ВХОДЫ">#REF!</definedName>
    <definedName name="ВХОДЫ_ОТМОСТКА">#REF!</definedName>
    <definedName name="ВыL199">#REF!</definedName>
    <definedName name="ВыL254">#REF!</definedName>
    <definedName name="ВыL299">#REF!</definedName>
    <definedName name="ВыL300">#REF!</definedName>
    <definedName name="ВыL385">#REF!</definedName>
    <definedName name="ВыL386">#REF!</definedName>
    <definedName name="ВыL387">#REF!</definedName>
    <definedName name="выа">[60]DCF!$R$69</definedName>
    <definedName name="выадлр" hidden="1">{"glc1",#N/A,FALSE,"GLC";"glc2",#N/A,FALSE,"GLC";"glc3",#N/A,FALSE,"GLC";"glc4",#N/A,FALSE,"GLC";"glc5",#N/A,FALSE,"GLC"}</definedName>
    <definedName name="выб_1">[4]Лист1!$T$3:$T$55</definedName>
    <definedName name="выб_3">[4]Лист1!$T$166:$T$218</definedName>
    <definedName name="ВыбL301">#REF!</definedName>
    <definedName name="ВыбL302">#REF!</definedName>
    <definedName name="выбор">[54]Служебный!$B$1:$B$2</definedName>
    <definedName name="выбытие">[4]Лист1!$T$3:$T$218</definedName>
    <definedName name="вывывывы" hidden="1">{"glc1",#N/A,FALSE,"GLC";"glc2",#N/A,FALSE,"GLC";"glc3",#N/A,FALSE,"GLC";"glc4",#N/A,FALSE,"GLC";"glc5",#N/A,FALSE,"GLC"}</definedName>
    <definedName name="выключатели">#REF!</definedName>
    <definedName name="ВЫКЛЮЧАТЕЛЬ">'[42]матер.(октябрь)'!#REF!</definedName>
    <definedName name="Выплат">#REF!</definedName>
    <definedName name="выплат1">[100]Кредит!$D$6</definedName>
    <definedName name="выплата" hidden="1">{#N/A,#N/A,TRUE,"Буржуям"}</definedName>
    <definedName name="Выработка">#REF!</definedName>
    <definedName name="Выработка_Сумм">#REF!</definedName>
    <definedName name="Выручка_всего">#REF!</definedName>
    <definedName name="высок_03">[4]Лист1!#REF!</definedName>
    <definedName name="Высота1">[2]Исход.инф.!$C$7</definedName>
    <definedName name="Высота2">[2]Исход.инф.!$C$8</definedName>
    <definedName name="Высота3">[2]Исход.инф.!$C$9</definedName>
    <definedName name="Высота4">[2]Исход.инф.!$C$10</definedName>
    <definedName name="выходокон">#REF!</definedName>
    <definedName name="вьарб">[0]!вьарб</definedName>
    <definedName name="г">[4]Лист1!$AE$89</definedName>
    <definedName name="г6ц45">[0]!г6ц45</definedName>
    <definedName name="г9">[0]!г9</definedName>
    <definedName name="газ">#REF!</definedName>
    <definedName name="газета" hidden="1">{#N/A,#N/A,TRUE,"Буржуям"}</definedName>
    <definedName name="гакк.руб.">'[92]Гр+'!#REF!</definedName>
    <definedName name="гакк.у.е.">'[92]Гр+'!#REF!</definedName>
    <definedName name="ганкшнгшн">[0]!ганкшнгшн</definedName>
    <definedName name="гг">[101]восст!$B$1:$J$65536</definedName>
    <definedName name="ггг">[0]!ггг</definedName>
    <definedName name="гггг" hidden="1">{#N/A,#N/A,TRUE,"Буржуям"}</definedName>
    <definedName name="гггггггггг">[0]!гггггггггг</definedName>
    <definedName name="ггггггггггггггггггггггг">[0]!ггггггггггггггггггггггг</definedName>
    <definedName name="гггггггггггггггггггггггггггггг">[0]!гггггггггггггггггггггггггггггг</definedName>
    <definedName name="ггк6г6">[0]!ггк6г6</definedName>
    <definedName name="гегг">[0]!гегг</definedName>
    <definedName name="гегег">[0]!гегег</definedName>
    <definedName name="гегегегег" hidden="1">{"glc1",#N/A,FALSE,"GLC";"glc2",#N/A,FALSE,"GLC";"glc3",#N/A,FALSE,"GLC";"glc4",#N/A,FALSE,"GLC";"glc5",#N/A,FALSE,"GLC"}</definedName>
    <definedName name="геег">[0]!геег</definedName>
    <definedName name="геккенк">[0]!геккенк</definedName>
    <definedName name="гекщшкг">[0]!гекщшкг</definedName>
    <definedName name="генгегвуе">[0]!генгегвуе</definedName>
    <definedName name="генгегег">[0]!генгегег</definedName>
    <definedName name="генгегеу">[0]!генгегеу</definedName>
    <definedName name="генгкгшен">[0]!генгкгшен</definedName>
    <definedName name="генгшешнг">[0]!генгшешнг</definedName>
    <definedName name="генекнуук">[0]!генекнуук</definedName>
    <definedName name="гененге">[0]!гененге</definedName>
    <definedName name="генеолр">[0]!генеолр</definedName>
    <definedName name="геннепорн">[0]!геннепорн</definedName>
    <definedName name="ГенПодрядчик">#REF!</definedName>
    <definedName name="генугн">[0]!генугн</definedName>
    <definedName name="геншгщ">[0]!геншгщ</definedName>
    <definedName name="геогеог">[0]!геогеог</definedName>
    <definedName name="гепгнп">[0]!гепгнп</definedName>
    <definedName name="Геркулес">'[4]Фин. вложения'!$T$36</definedName>
    <definedName name="гещегш">[0]!гещегш</definedName>
    <definedName name="гзшх">[0]!гзшх</definedName>
    <definedName name="ГИПС">'[42]матер.(октябрь)'!#REF!</definedName>
    <definedName name="гироизоляциястены">#REF!</definedName>
    <definedName name="гкегкгшг">[0]!гкегкгшг</definedName>
    <definedName name="гкенкге">[0]!гкенкге</definedName>
    <definedName name="гкнген">[0]!гкнген</definedName>
    <definedName name="глкзд" hidden="1">{"glc1",#N/A,FALSE,"GLC";"glc2",#N/A,FALSE,"GLC";"glc3",#N/A,FALSE,"GLC";"glc4",#N/A,FALSE,"GLC";"glc5",#N/A,FALSE,"GLC"}</definedName>
    <definedName name="глшаенггш">[0]!глшаенггш</definedName>
    <definedName name="гн" hidden="1">{"glcbs",#N/A,FALSE,"GLCBS";"glccsbs",#N/A,FALSE,"GLCCSBS";"glcis",#N/A,FALSE,"GLCIS";"glccsis",#N/A,FALSE,"GLCCSIS";"glcrat1",#N/A,FALSE,"GLC-ratios1"}</definedName>
    <definedName name="гнгу56">[0]!гнгу56</definedName>
    <definedName name="гнгще">[0]!гнгще</definedName>
    <definedName name="гнекуф" hidden="1">{"ÜBER mit FW","THU",FALSE,"HORE KORR!";"ÜBERSICHT",#N/A,FALSE,"BUDGET 1997_98";"ÜBER mit FW",#N/A,FALSE,"IST KUM KORR!!";"ÜBERSICHT",#N/A,FALSE,"PLAN KUM"}</definedName>
    <definedName name="гнлшгплрод">[0]!гнлшгплрод</definedName>
    <definedName name="гнпсмв" hidden="1">{#N/A,#N/A,TRUE,"Буржуям"}</definedName>
    <definedName name="гншггншщег">[0]!гншггншщег</definedName>
    <definedName name="гншщ" hidden="1">{#N/A,#N/A,FALSE,"Aging Summary";#N/A,#N/A,FALSE,"Ratio Analysis";#N/A,#N/A,FALSE,"Test 120 Day Accts";#N/A,#N/A,FALSE,"Tickmarks"}</definedName>
    <definedName name="гоарвногоы" hidden="1">{"glc1",#N/A,FALSE,"GLC";"glc2",#N/A,FALSE,"GLC";"glc3",#N/A,FALSE,"GLC";"glc4",#N/A,FALSE,"GLC";"glc5",#N/A,FALSE,"GLC"}</definedName>
    <definedName name="говрапппп" hidden="1">{"glc1",#N/A,FALSE,"GLC";"glc2",#N/A,FALSE,"GLC";"glc3",#N/A,FALSE,"GLC";"glc4",#N/A,FALSE,"GLC";"glc5",#N/A,FALSE,"GLC"}</definedName>
    <definedName name="год">[102]свед!$B$2</definedName>
    <definedName name="гойщшгнф" hidden="1">#N/A</definedName>
    <definedName name="гом_сс">[4]платежи!$H$22</definedName>
    <definedName name="горавл" hidden="1">{"glc1",#N/A,FALSE,"GLC";"glc2",#N/A,FALSE,"GLC";"glc3",#N/A,FALSE,"GLC";"glc4",#N/A,FALSE,"GLC";"glc5",#N/A,FALSE,"GLC"}</definedName>
    <definedName name="горанан" hidden="1">#REF!</definedName>
    <definedName name="горанво" hidden="1">{"glc1",#N/A,FALSE,"GLC";"glc2",#N/A,FALSE,"GLC";"glc3",#N/A,FALSE,"GLC";"glc4",#N/A,FALSE,"GLC";"glc5",#N/A,FALSE,"GLC"}</definedName>
    <definedName name="горвдлво" hidden="1">{"glc1",#N/A,FALSE,"GLC";"glc2",#N/A,FALSE,"GLC";"glc3",#N/A,FALSE,"GLC";"glc4",#N/A,FALSE,"GLC";"glc5",#N/A,FALSE,"GLC"}</definedName>
    <definedName name="горвеын" hidden="1">{"glc1",#N/A,FALSE,"GLC";"glc2",#N/A,FALSE,"GLC";"glc3",#N/A,FALSE,"GLC";"glc4",#N/A,FALSE,"GLC";"glc5",#N/A,FALSE,"GLC"}</definedName>
    <definedName name="горвкнра" hidden="1">{"ÜBERSICHT",#N/A,FALSE,"ABW KUM";"Kostenzoom",#N/A,FALSE,"ABW KUM";"ÜBERSICHT",#N/A,FALSE,"ABW HORE";"Kostenzoom",#N/A,FALSE,"ABW HORE"}</definedName>
    <definedName name="горвна" hidden="1">{"ÜBERSICHT",#N/A,FALSE,"ABW KUM";"Kostenzoom",#N/A,FALSE,"ABW KUM";"ÜBERSICHT",#N/A,FALSE,"ABW HORE";"Kostenzoom",#N/A,FALSE,"ABW HORE"}</definedName>
    <definedName name="горвны" hidden="1">{"glc1",#N/A,FALSE,"GLC";"glc2",#N/A,FALSE,"GLC";"glc3",#N/A,FALSE,"GLC";"glc4",#N/A,FALSE,"GLC";"glc5",#N/A,FALSE,"GLC"}</definedName>
    <definedName name="горвныо" hidden="1">{"glc1",#N/A,FALSE,"GLC";"glc2",#N/A,FALSE,"GLC";"glc3",#N/A,FALSE,"GLC";"glc4",#N/A,FALSE,"GLC";"glc5",#N/A,FALSE,"GLC"}</definedName>
    <definedName name="горвода">#REF!</definedName>
    <definedName name="горнавр" hidden="1">{"glc1",#N/A,FALSE,"GLC";"glc2",#N/A,FALSE,"GLC";"glc3",#N/A,FALSE,"GLC";"glc4",#N/A,FALSE,"GLC";"glc5",#N/A,FALSE,"GLC"}</definedName>
    <definedName name="горнпав" hidden="1">{"glc1",#N/A,FALSE,"GLC";"glc2",#N/A,FALSE,"GLC";"glc3",#N/A,FALSE,"GLC";"glc4",#N/A,FALSE,"GLC";"glc5",#N/A,FALSE,"GLC"}</definedName>
    <definedName name="горпнвы" hidden="1">{"glc1",#N/A,FALSE,"GLC";"glc2",#N/A,FALSE,"GLC";"glc3",#N/A,FALSE,"GLC";"glc4",#N/A,FALSE,"GLC";"glc5",#N/A,FALSE,"GLC"}</definedName>
    <definedName name="гоъ">[0]!гоъ</definedName>
    <definedName name="гпаопоип" hidden="1">#REF!</definedName>
    <definedName name="гпора" hidden="1">{"glc1",#N/A,FALSE,"GLC";"glc2",#N/A,FALSE,"GLC";"glc3",#N/A,FALSE,"GLC";"glc4",#N/A,FALSE,"GLC";"glc5",#N/A,FALSE,"GLC"}</definedName>
    <definedName name="гр.руб.">'[92]Гр+'!#REF!</definedName>
    <definedName name="гр.у.е.">'[92]Гр+'!#REF!</definedName>
    <definedName name="граф2" hidden="1">[103]T1!#REF!</definedName>
    <definedName name="График">#REF!</definedName>
    <definedName name="греч_отг">[4]Лист1!$F$192</definedName>
    <definedName name="греч_отг_ДС">[4]Лист1!$M$192</definedName>
    <definedName name="гриф" hidden="1">{#N/A,#N/A,TRUE,"Буржуям"}</definedName>
    <definedName name="грн">[104]Лист1!$B$41</definedName>
    <definedName name="гро0">[0]!гро0</definedName>
    <definedName name="группировка_Балитэкс">OFFSET([105]справочники!$A$100,0,0, COUNTA([105]справочники!$A$100:$A$110),2)</definedName>
    <definedName name="группировка_ГПБИ">OFFSET([105]справочники!$A$83,0,0, COUNTA([105]справочники!$A$83:$A$98),2)</definedName>
    <definedName name="группировка_Лиона">OFFSET([105]справочники!$A$73,0,0, COUNTA([105]справочники!$A$73:$A$81),2)</definedName>
    <definedName name="группировка_статей">OFFSET([105]справочники!$A$3,0,0, COUNTA([105]справочники!$A$3:$A$39),2)</definedName>
    <definedName name="группировка_Харкона">OFFSET([105]справочники!$A$40,0,0, COUNTA([105]справочники!$A$40:$A$73),2)</definedName>
    <definedName name="гу">[0]!гу</definedName>
    <definedName name="гуге">[0]!гуге</definedName>
    <definedName name="гуегге">[0]!гуегге</definedName>
    <definedName name="гуегего">[0]!гуегего</definedName>
    <definedName name="гуегекн">[0]!гуегекн</definedName>
    <definedName name="гуегео">[0]!гуегео</definedName>
    <definedName name="гуегкг">[0]!гуегкг</definedName>
    <definedName name="гуенгек">[0]!гуенгек</definedName>
    <definedName name="гуенгекнку">[0]!гуенгекнку</definedName>
    <definedName name="гуенгенг">[0]!гуенгенг</definedName>
    <definedName name="гуене">[0]!гуене</definedName>
    <definedName name="гукге">[0]!гукге</definedName>
    <definedName name="гунгуеге">[0]!гунгуеге</definedName>
    <definedName name="гш">[4]Изменения!$J$23</definedName>
    <definedName name="гш8">[4]Изменения!$I$23</definedName>
    <definedName name="гшгншщеш">[0]!гшгншщеш</definedName>
    <definedName name="гшенгшще">[0]!гшенгшще</definedName>
    <definedName name="гшеншщенг">[0]!гшеншщенг</definedName>
    <definedName name="гшещгшщ">[0]!гшещгшщ</definedName>
    <definedName name="гшнгшегщ">[0]!гшнгшегщ</definedName>
    <definedName name="гшнегшедщешг">[0]!гшнегшедщешг</definedName>
    <definedName name="гшнщегщ">[0]!гшнщегщ</definedName>
    <definedName name="гшонгнгн">[0]!гшонгнгн</definedName>
    <definedName name="гшпнгшгш">[0]!гшпнгшгш</definedName>
    <definedName name="гшъ">[0]!гшъ</definedName>
    <definedName name="гщгшз">[0]!гщгшз</definedName>
    <definedName name="гъ">[0]!гъ</definedName>
    <definedName name="д">[95]Доходный!$B$1</definedName>
    <definedName name="д1">[4]Лист1!#REF!</definedName>
    <definedName name="д2">[4]Лист1!#REF!</definedName>
    <definedName name="д3">[4]Лист1!#REF!</definedName>
    <definedName name="д4">[4]Лист1!#REF!</definedName>
    <definedName name="д98">#REF!</definedName>
    <definedName name="д99">#REF!</definedName>
    <definedName name="Данные" hidden="1">#REF!</definedName>
    <definedName name="дата">[82]Титул!$I$7</definedName>
    <definedName name="дата_оцен">[106]Служебный!$B$7</definedName>
    <definedName name="Дата_оценки">#REF!</definedName>
    <definedName name="дата_файла">[4]Лист1!#REF!</definedName>
    <definedName name="датаоценки">'[107]Все ОС'!$B$1</definedName>
    <definedName name="ДБ">#REF!</definedName>
    <definedName name="дверь">#REF!</definedName>
    <definedName name="движ_за_день_ЗЕРНО">[4]Лист1!$R$3:$Y$39</definedName>
    <definedName name="движ_за_день_ОСТАЛ">[4]Лист1!$R$166:$Y$205</definedName>
    <definedName name="движ_за_день_РПК">[4]Лист1!$R$40:$Y$55</definedName>
    <definedName name="движ_за_день_САХАР">[4]Лист1!$R$56:$Y$165</definedName>
    <definedName name="движ_за_день_УФА">[4]Лист1!$R$206:$Y$218</definedName>
    <definedName name="движение_за_день">[4]Лист1!$R$3:$Y$218</definedName>
    <definedName name="Движение_товара_EXCEL_ALL">[4]Лист1!$B$2:$K$40</definedName>
    <definedName name="дддд" hidden="1">{#N/A,#N/A,FALSE,"Aging Summary";#N/A,#N/A,FALSE,"Ratio Analysis";#N/A,#N/A,FALSE,"Test 120 Day Accts";#N/A,#N/A,FALSE,"Tickmarks"}</definedName>
    <definedName name="ддддддд" hidden="1">{"glc1",#N/A,FALSE,"GLC";"glc2",#N/A,FALSE,"GLC";"glc3",#N/A,FALSE,"GLC";"glc4",#N/A,FALSE,"GLC";"glc5",#N/A,FALSE,"GLC"}</definedName>
    <definedName name="ддж">#REF!</definedName>
    <definedName name="дебиторка_тонн">[4]Лист1!$I$139</definedName>
    <definedName name="дебиторка_факт">[4]Лист1!$G$139</definedName>
    <definedName name="дек">[4]титул!#REF!</definedName>
    <definedName name="дек_1">#REF!</definedName>
    <definedName name="дек_2">#REF!</definedName>
    <definedName name="дек03гр">#REF!</definedName>
    <definedName name="дек03руб.">#REF!</definedName>
    <definedName name="дек03у.е.">#REF!</definedName>
    <definedName name="дек04гр">#REF!</definedName>
    <definedName name="дек04руб">#REF!</definedName>
    <definedName name="дек04у.е.">#REF!</definedName>
    <definedName name="декабрь" hidden="1">{#N/A,#N/A,TRUE,"Буржуям"}</definedName>
    <definedName name="декабрь33333" hidden="1">{#N/A,#N/A,TRUE,"Буржуям"}</definedName>
    <definedName name="дельта">#REF!</definedName>
    <definedName name="дельта1">#REF!</definedName>
    <definedName name="ден_част_З">[4]СКР!$D$21</definedName>
    <definedName name="ден_часть_д_З">[4]СКР!$H$21</definedName>
    <definedName name="ден_часть_д_С">[4]СКР!$H$34</definedName>
    <definedName name="ден_часть_С">[4]СКР!$D$34</definedName>
    <definedName name="денежные_ср_в_регионе_дол">[4]Лист1!#REF!</definedName>
    <definedName name="денежные_ср_в_регионе_РСК">[4]Лист1!#REF!</definedName>
    <definedName name="Денньги_рсч">[4]Лист1!$F$25</definedName>
    <definedName name="Деньги">[4]Лист1!$D$12</definedName>
    <definedName name="деньги_в_пути">'[4]2 деньги в пути'!$F$31</definedName>
    <definedName name="ДЕНЬГИ_В_регионе">[4]Лист1!#REF!</definedName>
    <definedName name="ДЕРЕВЯШКИ">'[56]см. ЦЕНЫ '!$B$191</definedName>
    <definedName name="детплощадка">#REF!</definedName>
    <definedName name="джл" hidden="1">{"assets",#N/A,FALSE,"historicBS";"liab",#N/A,FALSE,"historicBS";"is",#N/A,FALSE,"historicIS";"ratios",#N/A,FALSE,"ratios"}</definedName>
    <definedName name="джло" hidden="1">{"'Prices'!$A$4:$J$27"}</definedName>
    <definedName name="ДЗ" hidden="1">{"glc1",#N/A,FALSE,"GLC";"glc2",#N/A,FALSE,"GLC";"glc3",#N/A,FALSE,"GLC";"glc4",#N/A,FALSE,"GLC";"glc5",#N/A,FALSE,"GLC"}</definedName>
    <definedName name="ДЗ_01_02">[4]Лист1!$F$55</definedName>
    <definedName name="ДЗ_1" hidden="1">{#N/A,#N/A,FALSE,"Aging Summary";#N/A,#N/A,FALSE,"Ratio Analysis";#N/A,#N/A,FALSE,"Test 120 Day Accts";#N/A,#N/A,FALSE,"Tickmarks"}</definedName>
    <definedName name="ДЗ_Всего">#REF!</definedName>
    <definedName name="ДЗ_ДБ">[4]d_pok!#REF!</definedName>
    <definedName name="ДЗ_ДБ_Бел_3п">[4]d_pok!#REF!</definedName>
    <definedName name="ДЗ_ОАО_Бел">[4]d_pok!#REF!</definedName>
    <definedName name="ДЗ_ОАО_Бел_3гр">[4]d_pok!#REF!</definedName>
    <definedName name="ДЗ_РЗ_Бел">[4]d_pok!#REF!</definedName>
    <definedName name="ДЗ_РЗ_Бел_3гр">[4]d_pok!#REF!</definedName>
    <definedName name="ДЗ_РПК_Бел_2гр">[4]d_pok!#REF!</definedName>
    <definedName name="ДЗ_РПК_Бел_3гр">[4]d_pok!#REF!</definedName>
    <definedName name="ДЗ_РСК">[4]d_pok!#REF!</definedName>
    <definedName name="ДЗ_РСК_Бел_1гр">[4]d_pok!#REF!</definedName>
    <definedName name="ДЗ_РСК_Бел_2гр">[4]d_pok!#REF!</definedName>
    <definedName name="ДЗ_РСК_Бел_3гр">[4]d_pok!#REF!</definedName>
    <definedName name="ДЗ_РУфа">[4]d_pok!#REF!</definedName>
    <definedName name="ДЗ_РЦ">[4]Лист1!$F$32</definedName>
    <definedName name="ДЗ_сах">[4]Лист1!$G$66</definedName>
    <definedName name="дз1">#REF!</definedName>
    <definedName name="дз2">#REF!</definedName>
    <definedName name="ДЗсвекла">[4]Лист1!$F$44</definedName>
    <definedName name="ДЗЩЛЗХ" hidden="1">{#N/A,#N/A,FALSE,"Aging Summary";#N/A,#N/A,FALSE,"Ratio Analysis";#N/A,#N/A,FALSE,"Test 120 Day Accts";#N/A,#N/A,FALSE,"Tickmarks"}</definedName>
    <definedName name="ди">[108]износ!$A$1:$D$65536</definedName>
    <definedName name="диаг" hidden="1">{#N/A,#N/A,TRUE,"Буржуям"}</definedName>
    <definedName name="диагр" hidden="1">{"'интерфейс'!$J$31:$M$43"}</definedName>
    <definedName name="дис">#REF!</definedName>
    <definedName name="дис1">[109]свед!$B$14</definedName>
    <definedName name="дло" hidden="1">{"'Prices'!$A$4:$J$27"}</definedName>
    <definedName name="длор">#REF!</definedName>
    <definedName name="длр">#REF!</definedName>
    <definedName name="дм">[110]Словари!$B$4:$B$16</definedName>
    <definedName name="дни">[111]нормы!$G$3</definedName>
    <definedName name="ДО">#REF!</definedName>
    <definedName name="догог">[0]!догог</definedName>
    <definedName name="дозо" hidden="1">{#N/A,#N/A,FALSE,"Aging Summary";#N/A,#N/A,FALSE,"Ratio Analysis";#N/A,#N/A,FALSE,"Test 120 Day Accts";#N/A,#N/A,FALSE,"Tickmarks"}</definedName>
    <definedName name="дол">#REF!</definedName>
    <definedName name="Долг">[4]Лист1!#REF!</definedName>
    <definedName name="долг.общ.от.нач.">#REF!</definedName>
    <definedName name="долг.руб.">'[92]Гр+'!#REF!</definedName>
    <definedName name="долг.ст.б.">#REF!</definedName>
    <definedName name="долг.у.е.">'[92]Гр+'!#REF!</definedName>
    <definedName name="долгвстр">'[112]каскад,5'!#REF!</definedName>
    <definedName name="долгвстрмфтц">'[112]каскад,5'!#REF!</definedName>
    <definedName name="долгкв">'[112]каскад,5'!#REF!</definedName>
    <definedName name="долгквмфтц">'[112]каскад,5'!#REF!</definedName>
    <definedName name="долгпосданным">#REF!</definedName>
    <definedName name="долгсдав.тек.году">#REF!</definedName>
    <definedName name="долгсослед.года">#REF!</definedName>
    <definedName name="долгфин">'[4]1.14'!#REF!</definedName>
    <definedName name="долгфин1">'[4]1.14'!#REF!</definedName>
    <definedName name="долгфин2">'[4]1.14'!#REF!</definedName>
    <definedName name="долл">'[113]исход-итог'!$C$2</definedName>
    <definedName name="долл1">'[114]общие сведения'!$B$7</definedName>
    <definedName name="Доллар">[115]Исходные!$B$12</definedName>
    <definedName name="Доллар_доход">'[116]Плановые курсы валют'!$B$2</definedName>
    <definedName name="Доллар_расход">'[116]Плановые курсы валют'!$D$2</definedName>
    <definedName name="долллл">#REF!</definedName>
    <definedName name="долриол" hidden="1">{#N/A,#N/A,FALSE,"Capex";#N/A,#N/A,FALSE,"Market"}</definedName>
    <definedName name="долрн" hidden="1">{"glc1",#N/A,FALSE,"GLC";"glc2",#N/A,FALSE,"GLC";"glc3",#N/A,FALSE,"GLC";"glc4",#N/A,FALSE,"GLC";"glc5",#N/A,FALSE,"GLC"}</definedName>
    <definedName name="ДоляЖилая">[99]Параметры!$B$14</definedName>
    <definedName name="ДоляНДС">#N/A</definedName>
    <definedName name="ДоляОферты">#REF!</definedName>
    <definedName name="ДоляПродаваемая">[99]Параметры!$B$13</definedName>
    <definedName name="дом">'[117]рын счит'!$B$3:$B$3</definedName>
    <definedName name="домЛучко">'[114]Метод остатка'!#REF!</definedName>
    <definedName name="доп">'[118]исходные данные'!$I$25</definedName>
    <definedName name="доп.пддс" hidden="1">{#VALUE!,#N/A,TRUE,0}</definedName>
    <definedName name="Дополнительный">#REF!</definedName>
    <definedName name="допуслуги">#REF!</definedName>
    <definedName name="допы_ном">[118]списки!$E$47</definedName>
    <definedName name="дор">[109]свед!$B$14</definedName>
    <definedName name="дороги">#REF!</definedName>
    <definedName name="дос">#REF!</definedName>
    <definedName name="дох">#REF!</definedName>
    <definedName name="ДохДолУч1">[4]Лист1!#REF!</definedName>
    <definedName name="доход">#REF!</definedName>
    <definedName name="ДохПрРеал1">[4]Лист1!#REF!</definedName>
    <definedName name="дп">#REF!</definedName>
    <definedName name="дс_путь">[4]Лист1!$J$68</definedName>
    <definedName name="Дс_рег">[4]Лист1!$D$68</definedName>
    <definedName name="ДС_рег_всего">[4]Лист1!$H$68</definedName>
    <definedName name="ДСЗЕРПО">[4]Лист1!$M$59</definedName>
    <definedName name="ДСФЗЕР">[4]Лист1!$N$59</definedName>
    <definedName name="дт">[4]Лист1!$AJ$1</definedName>
    <definedName name="дшоL206">#REF!</definedName>
    <definedName name="дшрпжпд">#REF!</definedName>
    <definedName name="е" hidden="1">{"'РП (2)'!$A$5:$S$150"}</definedName>
    <definedName name="ё">[4]Лист1!$A$3:$BG$219</definedName>
    <definedName name="ё_агро">[4]Лист1!$I$1:$K$65536</definedName>
    <definedName name="ё_БП">[4]Хотмыжск!#REF!</definedName>
    <definedName name="ё_всё">[4]Лист1!$C$1:$T$65536</definedName>
    <definedName name="ё_всё_всё">[4]Лист1!$A$10:$IV$89,[4]Лист1!$A$92:$IV$186</definedName>
    <definedName name="ё_группа">[4]Лист1!$C$1:$Q$65536</definedName>
    <definedName name="ё_Группа_КФВ_Ссуды">[4]Лист1!$A$172:$IV$172,[4]Лист1!$A$174:$IV$174,[4]Лист1!$A$176:$IV$176</definedName>
    <definedName name="ё_зкр">[4]Лист1!$C$1:$E$65536</definedName>
    <definedName name="ё_итого_группа">[4]Лист1!$L$1:$Q$65536</definedName>
    <definedName name="ё_нас">[4]Хотмыжск!#REF!</definedName>
    <definedName name="ё_пкр">[4]Хотмыжск!#REF!</definedName>
    <definedName name="ё_пткр">[4]Хотмыжск!#REF!</definedName>
    <definedName name="ё_рц">[4]Лист1!$R$1:$T$65536</definedName>
    <definedName name="ё_скр">[4]Лист1!$F$1:$H$65536</definedName>
    <definedName name="ё_СубХ_КФВ_Ссуды">[4]Лист1!$A$178:$IV$178,[4]Лист1!$A$182:$IV$182,[4]Лист1!$A$184:$IV$184,[4]Лист1!$A$186:$IV$186</definedName>
    <definedName name="ё_СубХолд">[4]Лист1!$R$1:$T$65536</definedName>
    <definedName name="е4е" hidden="1">{"glc1",#N/A,FALSE,"GLC";"glc2",#N/A,FALSE,"GLC";"glc3",#N/A,FALSE,"GLC";"glc4",#N/A,FALSE,"GLC";"glc5",#N/A,FALSE,"GLC"}</definedName>
    <definedName name="е6ненке">[0]!е6ненке</definedName>
    <definedName name="еакдгн">[0]!еакдгн</definedName>
    <definedName name="еакнп">[0]!еакнп</definedName>
    <definedName name="еарпр">[0]!еарпр</definedName>
    <definedName name="ев">[108]восст!$O$3</definedName>
    <definedName name="Евд_масло_неопл">[4]Лист1!$L$157</definedName>
    <definedName name="евлелнл">[0]!евлелнл</definedName>
    <definedName name="евро">#REF!</definedName>
    <definedName name="Евро_расход">'[116]Плановые курсы валют'!$D$3</definedName>
    <definedName name="евуекн">[0]!евуекн</definedName>
    <definedName name="евшенген">[0]!евшенген</definedName>
    <definedName name="ег6575">[0]!ег6575</definedName>
    <definedName name="еге">[0]!еге</definedName>
    <definedName name="егеге">[0]!егеге</definedName>
    <definedName name="егегекгн">[0]!егегекгн</definedName>
    <definedName name="егегкгкн">[0]!егегкгкн</definedName>
    <definedName name="егекгекн">[0]!егекгекн</definedName>
    <definedName name="егекн">[0]!егекн</definedName>
    <definedName name="еген">[0]!еген</definedName>
    <definedName name="егенг">[0]!егенг</definedName>
    <definedName name="егенген">[0]!егенген</definedName>
    <definedName name="егенгешеш">[0]!егенгешеш</definedName>
    <definedName name="егео">[0]!егео</definedName>
    <definedName name="егеунге">[0]!егеунге</definedName>
    <definedName name="ЕГИ">[22]Баланс95!#REF!</definedName>
    <definedName name="егкгенгк">[0]!егкгенгк</definedName>
    <definedName name="егкгкен">[0]!егкгкен</definedName>
    <definedName name="егкгцг">[0]!егкгцг</definedName>
    <definedName name="егкегекгн">[0]!егкегекгн</definedName>
    <definedName name="егкенгек">[0]!егкенгек</definedName>
    <definedName name="егкеог">[0]!егкеог</definedName>
    <definedName name="егкешкншкнш">[0]!егкешкншкнш</definedName>
    <definedName name="егкшелшн">[0]!егкшелшн</definedName>
    <definedName name="егнпг">[0]!егнпг</definedName>
    <definedName name="егнуег">[0]!егнуег</definedName>
    <definedName name="егон7">[0]!егон7</definedName>
    <definedName name="егуге">[0]!егуге</definedName>
    <definedName name="егуен">[0]!егуен</definedName>
    <definedName name="егуенгек">[0]!егуенгек</definedName>
    <definedName name="егукегк">[0]!егукегк</definedName>
    <definedName name="егукроген">[0]!егукроген</definedName>
    <definedName name="егшкенг">[0]!егшкенг</definedName>
    <definedName name="егшлпнд">[0]!егшлпнд</definedName>
    <definedName name="Ед1.">[4]Лист1!#REF!</definedName>
    <definedName name="едизм">[119]Титул!$E$29:$E$31</definedName>
    <definedName name="ее" hidden="1">{#N/A,#N/A,FALSE,"Virgin Flightdeck"}</definedName>
    <definedName name="ее5н5гнгн">[0]!ее5н5гнгн</definedName>
    <definedName name="еегег">[0]!еегег</definedName>
    <definedName name="ееее">#REF!</definedName>
    <definedName name="еееееее">[0]!еееееее</definedName>
    <definedName name="ееееееееееееееее">[0]!ееееееееееееееее</definedName>
    <definedName name="еееееееееееееееее">[0]!еееееееееееееееее</definedName>
    <definedName name="еееноген">[0]!еееноген</definedName>
    <definedName name="еекгене">[0]!еекгене</definedName>
    <definedName name="еекнкнг">[0]!еекнкнг</definedName>
    <definedName name="еекуек">[0]!еекуек</definedName>
    <definedName name="еенген">[0]!еенген</definedName>
    <definedName name="еенгук">[0]!еенгук</definedName>
    <definedName name="еенкг">[0]!еенкг</definedName>
    <definedName name="ееногкен">[0]!ееногкен</definedName>
    <definedName name="ееоокен">[0]!ееоокен</definedName>
    <definedName name="екв">[0]!екв</definedName>
    <definedName name="еквенген">[0]!еквенген</definedName>
    <definedName name="екгекрге">[0]!екгекрге</definedName>
    <definedName name="екгенгекн">[0]!екгенгекн</definedName>
    <definedName name="екгенгуен">[0]!екгенгуен</definedName>
    <definedName name="екгеншнгш">[0]!екгеншнгш</definedName>
    <definedName name="екгкгн">[0]!екгкгн</definedName>
    <definedName name="екгкеге">[0]!екгкеге</definedName>
    <definedName name="екгкегек">[0]!екгкегек</definedName>
    <definedName name="екгкенг">[0]!екгкенг</definedName>
    <definedName name="екгн">[0]!екгн</definedName>
    <definedName name="екгнке">[0]!екгнке</definedName>
    <definedName name="екгнкегек">[0]!екгнкегек</definedName>
    <definedName name="екгперопо">[0]!екгперопо</definedName>
    <definedName name="екгу5нуе">[0]!екгу5нуе</definedName>
    <definedName name="екгукгеу">[0]!екгукгеу</definedName>
    <definedName name="екгукег">[0]!екгукег</definedName>
    <definedName name="екгц">[0]!екгц</definedName>
    <definedName name="екеен">[0]!екеен</definedName>
    <definedName name="екенгекг">[0]!екенгекг</definedName>
    <definedName name="екенкуг">[0]!екенкуг</definedName>
    <definedName name="екеогекг">[0]!екеогекг</definedName>
    <definedName name="екеого">[0]!екеого</definedName>
    <definedName name="екеоншуе">[0]!екеоншуе</definedName>
    <definedName name="екешкншкнш">[0]!екешкншкнш</definedName>
    <definedName name="еккген">[0]!еккген</definedName>
    <definedName name="еккн">[0]!еккн</definedName>
    <definedName name="еккнк">[0]!еккнк</definedName>
    <definedName name="екнгекг">[0]!екнгекг</definedName>
    <definedName name="екнгекн">[0]!екнгекн</definedName>
    <definedName name="екнгенг">[0]!екнгенг</definedName>
    <definedName name="екнгкенк">[0]!екнгкенк</definedName>
    <definedName name="екнк6нге">[0]!екнк6нге</definedName>
    <definedName name="екнкг">[0]!екнкг</definedName>
    <definedName name="екнкенкогк">[0]!екнкенкогк</definedName>
    <definedName name="екнкнк">[0]!екнкнк</definedName>
    <definedName name="екннун">[0]!екннун</definedName>
    <definedName name="екнугенг">[0]!екнугенг</definedName>
    <definedName name="екнуенгек">[0]!екнуенгек</definedName>
    <definedName name="екнукенук">[0]!екнукенук</definedName>
    <definedName name="екнукненге">[0]!екнукненге</definedName>
    <definedName name="екнуну">[0]!екнуну</definedName>
    <definedName name="екнцек">[0]!екнцек</definedName>
    <definedName name="екнцк">[0]!екнцк</definedName>
    <definedName name="екншкншкн">[0]!екншкншкн</definedName>
    <definedName name="еко">[0]!еко</definedName>
    <definedName name="ековправс">[0]!ековправс</definedName>
    <definedName name="екогеногуе">[0]!екогеногуе</definedName>
    <definedName name="екогуео">[0]!екогуео</definedName>
    <definedName name="екогукш">[0]!екогукш</definedName>
    <definedName name="екоео">[0]!екоео</definedName>
    <definedName name="еколвеконен">[0]!еколвеконен</definedName>
    <definedName name="екоуоенр">[0]!екоуоенр</definedName>
    <definedName name="екр5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екрныцеку">[0]!екрныцеку</definedName>
    <definedName name="екро">[0]!екро</definedName>
    <definedName name="екрпраеврр">[0]!екрпраеврр</definedName>
    <definedName name="екуген">[0]!екуген</definedName>
    <definedName name="екугенг">[0]!екугенг</definedName>
    <definedName name="екуег">[0]!екуег</definedName>
    <definedName name="екуенгкерог">[0]!екуенгкерог</definedName>
    <definedName name="екуенукг">[0]!екуенукг</definedName>
    <definedName name="екуеу" hidden="1">{#N/A,#N/A,FALSE,"Virgin Flightdeck"}</definedName>
    <definedName name="екукн">[0]!екукн</definedName>
    <definedName name="екуну">[0]!екуну</definedName>
    <definedName name="елалпел">[0]!елалпел</definedName>
    <definedName name="елнлнл">[0]!елнлнл</definedName>
    <definedName name="ен" hidden="1">{#N/A,#N/A,FALSE,"Virgin Flightdeck"}</definedName>
    <definedName name="енвегенг">[0]!енвегенг</definedName>
    <definedName name="енг">[4]Изменения!$V$2</definedName>
    <definedName name="енгакншщег">[0]!енгакншщег</definedName>
    <definedName name="енгеге">[0]!енгеге</definedName>
    <definedName name="енгегег">[0]!енгегег</definedName>
    <definedName name="енгегенг">[0]!енгегенг</definedName>
    <definedName name="енгегенген">[0]!енгегенген</definedName>
    <definedName name="енгегеу">[0]!енгегеу</definedName>
    <definedName name="енгегуг">[0]!енгегуг</definedName>
    <definedName name="енгекнгук">[0]!енгекнгук</definedName>
    <definedName name="енгенге">[0]!енгенге</definedName>
    <definedName name="енгенгегеп">[0]!енгенгегеп</definedName>
    <definedName name="енгенгее">[0]!енгенгее</definedName>
    <definedName name="енгенген">[0]!енгенген</definedName>
    <definedName name="енгенгенг">[0]!енгенгенг</definedName>
    <definedName name="енгенгенге">[0]!енгенгенге</definedName>
    <definedName name="енгенгуге">[0]!енгенгуге</definedName>
    <definedName name="енгеншенш">[0]!енгеншенш</definedName>
    <definedName name="енгешген">[0]!енгешген</definedName>
    <definedName name="енгк6">[0]!енгк6</definedName>
    <definedName name="енгкгшк">[0]!енгкгшк</definedName>
    <definedName name="енгке">[0]!енгке</definedName>
    <definedName name="енгкегк">[0]!енгкегк</definedName>
    <definedName name="енгкен">[0]!енгкен</definedName>
    <definedName name="енгкенге">[0]!енгкенге</definedName>
    <definedName name="енгкенк">[0]!енгкенк</definedName>
    <definedName name="енгкн">[0]!енгкн</definedName>
    <definedName name="енгкнгшкщен">[0]!енгкнгшкщен</definedName>
    <definedName name="енгконгкн">[0]!енгконгкн</definedName>
    <definedName name="енгнг">[0]!енгнг</definedName>
    <definedName name="енгнгкен">[0]!енгнгкен</definedName>
    <definedName name="енгнгшеп">[0]!енгнгшеп</definedName>
    <definedName name="енгншешен">[0]!енгншешен</definedName>
    <definedName name="енгнщенг">[0]!енгнщенг</definedName>
    <definedName name="енгоенуе">[0]!енгоенуе</definedName>
    <definedName name="енгокг">[0]!енгокг</definedName>
    <definedName name="енгокнгк">[0]!енгокнгк</definedName>
    <definedName name="енгоуен">[0]!енгоуен</definedName>
    <definedName name="енгу">[0]!енгу</definedName>
    <definedName name="енгугн">[0]!енгугн</definedName>
    <definedName name="енгугу">[0]!енгугу</definedName>
    <definedName name="енгуе">[0]!енгуе</definedName>
    <definedName name="енгуеген">[0]!енгуеген</definedName>
    <definedName name="енгуен">[0]!енгуен</definedName>
    <definedName name="енгуенгу">[0]!енгуенгу</definedName>
    <definedName name="енгуенгук">[0]!енгуенгук</definedName>
    <definedName name="енгуену">[0]!енгуену</definedName>
    <definedName name="енгукенг">[0]!енгукенг</definedName>
    <definedName name="енгукенк">[0]!енгукенк</definedName>
    <definedName name="енгуоу">[0]!енгуоу</definedName>
    <definedName name="енгууен">[0]!енгууен</definedName>
    <definedName name="енгш">[0]!енгш</definedName>
    <definedName name="енгшегкек">[0]!енгшегкек</definedName>
    <definedName name="енгшнг">[0]!енгшнг</definedName>
    <definedName name="енгшнгшпнгш">[0]!енгшнгшпнгш</definedName>
    <definedName name="енгщгдш">[0]!енгщгдш</definedName>
    <definedName name="енегенген">[0]!енегенген</definedName>
    <definedName name="енеешеше">[0]!енеешеше</definedName>
    <definedName name="енекне">[0]!енекне</definedName>
    <definedName name="енекнк">[0]!енекнк</definedName>
    <definedName name="енекнугну">[0]!енекнугну</definedName>
    <definedName name="енелшена">[0]!енелшена</definedName>
    <definedName name="енен">[0]!енен</definedName>
    <definedName name="ененг" hidden="1">[84]MAIN!#REF!</definedName>
    <definedName name="ененгву">[0]!ененгву</definedName>
    <definedName name="ененгег">[0]!ененгег</definedName>
    <definedName name="ененгенг">[0]!ененгенг</definedName>
    <definedName name="ененгенн">[0]!ененгенн</definedName>
    <definedName name="ененгу">[0]!ененгу</definedName>
    <definedName name="енененк">[0]!енененк</definedName>
    <definedName name="енененше">[0]!енененше</definedName>
    <definedName name="ененнеен" hidden="1">#N/A</definedName>
    <definedName name="ененун">[0]!ененун</definedName>
    <definedName name="ененшен">[0]!ененшен</definedName>
    <definedName name="ененшенше">[0]!ененшенше</definedName>
    <definedName name="енеша">[0]!енеша</definedName>
    <definedName name="енеше">[0]!енеше</definedName>
    <definedName name="енешеге">[0]!енешеге</definedName>
    <definedName name="енешен">[0]!енешен</definedName>
    <definedName name="енешене">[0]!енешене</definedName>
    <definedName name="енешенен">[0]!енешенен</definedName>
    <definedName name="енешеше">[0]!енешеше</definedName>
    <definedName name="енешкшн">[0]!енешкшн</definedName>
    <definedName name="енке">[0]!енке</definedName>
    <definedName name="енкегк">[0]!енкегк</definedName>
    <definedName name="енкегуг">[0]!енкегуг</definedName>
    <definedName name="енкенг">[0]!енкенг</definedName>
    <definedName name="енкенгеу">[0]!енкенгеу</definedName>
    <definedName name="енкенукнук">[0]!енкенукнук</definedName>
    <definedName name="енкеоке">[0]!енкеоке</definedName>
    <definedName name="енккук">[0]!енккук</definedName>
    <definedName name="енкн">[0]!енкн</definedName>
    <definedName name="енкн6к5н6к">[0]!енкн6к5н6к</definedName>
    <definedName name="енкнгк">[0]!енкнгк</definedName>
    <definedName name="енкнгкнг">[0]!енкнгкнг</definedName>
    <definedName name="енкну">[0]!енкну</definedName>
    <definedName name="енкнук">[0]!енкнук</definedName>
    <definedName name="енкнукн">[0]!енкнукн</definedName>
    <definedName name="енкуегеун">[0]!енкуегеун</definedName>
    <definedName name="енленлщгнш">[0]!енленлщгнш</definedName>
    <definedName name="енлщкнлщ">[0]!енлщкнлщ</definedName>
    <definedName name="енннннннннне">[0]!енннннннннне</definedName>
    <definedName name="енннннннннннн">[0]!енннннннннннн</definedName>
    <definedName name="енншнш">[0]!енншнш</definedName>
    <definedName name="ено">[0]!ено</definedName>
    <definedName name="еноаекглон">[0]!еноаекглон</definedName>
    <definedName name="еновел">[0]!еновел</definedName>
    <definedName name="еновен">[0]!еновен</definedName>
    <definedName name="еног">[0]!еног</definedName>
    <definedName name="еногаенан">[0]!еногаенан</definedName>
    <definedName name="еногег">[0]!еногег</definedName>
    <definedName name="еноген">[0]!еноген</definedName>
    <definedName name="еногенвк">[0]!еногенвк</definedName>
    <definedName name="еногенге">[0]!еногенге</definedName>
    <definedName name="еногенген">[0]!еногенген</definedName>
    <definedName name="еногенгок">[0]!еногенгок</definedName>
    <definedName name="еногенло">'[120]Метод остатка'!#REF!</definedName>
    <definedName name="еногено">[0]!еногено</definedName>
    <definedName name="еногеноге">[0]!еногеноге</definedName>
    <definedName name="еногкг">[0]!еногкг</definedName>
    <definedName name="еногкгк">[0]!еногкгк</definedName>
    <definedName name="еногкгкен">[0]!еногкгкен</definedName>
    <definedName name="еногкгл">[0]!еногкгл</definedName>
    <definedName name="еногке">[0]!еногке</definedName>
    <definedName name="еногкегок">[0]!еногкегок</definedName>
    <definedName name="еногкен">[0]!еногкен</definedName>
    <definedName name="еногкеногк">[0]!еногкеногк</definedName>
    <definedName name="еногкн">[0]!еногкн</definedName>
    <definedName name="еногкнг">[0]!еногкнг</definedName>
    <definedName name="еногкнгек">[0]!еногкнгек</definedName>
    <definedName name="еногкнгко">[0]!еногкнгко</definedName>
    <definedName name="еногкношн">[0]!еногкношн</definedName>
    <definedName name="еное">[0]!еное</definedName>
    <definedName name="еноевл">[0]!еноевл</definedName>
    <definedName name="еноен">[0]!еноен</definedName>
    <definedName name="еноено">[0]!еноено</definedName>
    <definedName name="еноеноге">[0]!еноеноге</definedName>
    <definedName name="еноеноуе">[0]!еноеноуе</definedName>
    <definedName name="еноеон">[0]!еноеон</definedName>
    <definedName name="енокенлкн">[0]!енокенлкн</definedName>
    <definedName name="енокенн">[0]!енокенн</definedName>
    <definedName name="енокогк">[0]!енокогк</definedName>
    <definedName name="енопе">[0]!енопе</definedName>
    <definedName name="енопо">[0]!енопо</definedName>
    <definedName name="енорео">[0]!енорео</definedName>
    <definedName name="еноуено">[0]!еноуено</definedName>
    <definedName name="еноукерон">[0]!еноукерон</definedName>
    <definedName name="еноуло">[0]!еноуло</definedName>
    <definedName name="еноцкеоек">[0]!еноцкеоек</definedName>
    <definedName name="енпнг">[0]!енпнг</definedName>
    <definedName name="енрнро" hidden="1">{"'Prices'!$A$4:$J$27"}</definedName>
    <definedName name="енуг">[0]!енуг</definedName>
    <definedName name="енугке">[0]!енугке</definedName>
    <definedName name="енуег">[0]!енуег</definedName>
    <definedName name="енуегенгенг">[0]!енуегенгенг</definedName>
    <definedName name="енуелшуег">[0]!енуелшуег</definedName>
    <definedName name="енуен">[0]!енуен</definedName>
    <definedName name="енуенгег">[0]!енуенгег</definedName>
    <definedName name="енуенук">[0]!енуенук</definedName>
    <definedName name="енуеншуе">[0]!енуеншуе</definedName>
    <definedName name="енуеуенгу">[0]!енуеуенгу</definedName>
    <definedName name="енукгке">[0]!енукгке</definedName>
    <definedName name="енукгуег">[0]!енукгуег</definedName>
    <definedName name="енукеген">[0]!енукеген</definedName>
    <definedName name="енукекуен">[0]!енукекуен</definedName>
    <definedName name="енукенен">[0]!енукенен</definedName>
    <definedName name="енукенуен">[0]!енукенуен</definedName>
    <definedName name="енукеук">[0]!енукеук</definedName>
    <definedName name="енукне">[0]!енукне</definedName>
    <definedName name="енукно">[0]!енукно</definedName>
    <definedName name="енукрег">[0]!енукрег</definedName>
    <definedName name="енун">[0]!енун</definedName>
    <definedName name="енуогенгоекн">[0]!енуогенгоекн</definedName>
    <definedName name="енуукгнеу">[0]!енуукгнеу</definedName>
    <definedName name="енфрыпе" hidden="1">{"glc1",#N/A,FALSE,"GLC";"glc2",#N/A,FALSE,"GLC";"glc3",#N/A,FALSE,"GLC";"glc4",#N/A,FALSE,"GLC";"glc5",#N/A,FALSE,"GLC"}</definedName>
    <definedName name="енцкоек">[0]!енцкоек</definedName>
    <definedName name="еншаеае">[0]!еншаеае</definedName>
    <definedName name="еншан6щнг">[0]!еншан6щнг</definedName>
    <definedName name="еншвеш">[0]!еншвеш</definedName>
    <definedName name="еншега">[0]!еншега</definedName>
    <definedName name="еншегенге">[0]!еншегенге</definedName>
    <definedName name="еншенгег">[0]!еншенгег</definedName>
    <definedName name="еншенгекке">[0]!еншенгекке</definedName>
    <definedName name="еншенгшн">[0]!еншенгшн</definedName>
    <definedName name="еншенен">[0]!еншенен</definedName>
    <definedName name="еншенш">[0]!еншенш</definedName>
    <definedName name="еншеншдншгщ">[0]!еншеншдншгщ</definedName>
    <definedName name="еншенше">[0]!еншенше</definedName>
    <definedName name="еншеншнгш">[0]!еншеншнгш</definedName>
    <definedName name="еншешен">[0]!еншешен</definedName>
    <definedName name="еншканг">[0]!еншканг</definedName>
    <definedName name="еншке">[0]!еншке</definedName>
    <definedName name="еншкнгнш">[0]!еншкнгнш</definedName>
    <definedName name="еншкнгшенгш">[0]!еншкнгшенгш</definedName>
    <definedName name="еншкнеке">[0]!еншкнеке</definedName>
    <definedName name="еншлуен">[0]!еншлуен</definedName>
    <definedName name="еншнг">[0]!еншнг</definedName>
    <definedName name="еншнгнг">[0]!еншнгнг</definedName>
    <definedName name="еншнгш">[0]!еншнгш</definedName>
    <definedName name="еншнгшкн">[0]!еншнгшкн</definedName>
    <definedName name="еншнгшн">[0]!еншнгшн</definedName>
    <definedName name="еншнгшнгш">[0]!еншнгшнгш</definedName>
    <definedName name="еншншенг">[0]!еншншенг</definedName>
    <definedName name="еншншнш">[0]!еншншнш</definedName>
    <definedName name="еншу5щну">[0]!еншу5щну</definedName>
    <definedName name="ео">[0]!ео</definedName>
    <definedName name="еов">[0]!еов</definedName>
    <definedName name="еово">[0]!еово</definedName>
    <definedName name="еовыеоеноен">[0]!еовыеоеноен</definedName>
    <definedName name="еоггоео">[0]!еоггоео</definedName>
    <definedName name="еогегше">[0]!еогегше</definedName>
    <definedName name="еогеног">[0]!еогеног</definedName>
    <definedName name="еогке">[0]!еогке</definedName>
    <definedName name="еогкенк">[0]!еогкенк</definedName>
    <definedName name="еогнеорон">[0]!еогнеорон</definedName>
    <definedName name="еогуен">[0]!еогуен</definedName>
    <definedName name="еое">[0]!еое</definedName>
    <definedName name="еоенек">[0]!еоенек</definedName>
    <definedName name="еоеног">[0]!еоеног</definedName>
    <definedName name="еоео">[0]!еоео</definedName>
    <definedName name="еоеогоо">[0]!еоеогоо</definedName>
    <definedName name="еокеог">[0]!еокеог</definedName>
    <definedName name="еокеоревн">[0]!еокеоревн</definedName>
    <definedName name="еолен">[0]!еолен</definedName>
    <definedName name="еолн">[0]!еолн</definedName>
    <definedName name="еоне">[0]!еоне</definedName>
    <definedName name="еоное">[0]!еоное</definedName>
    <definedName name="еопрлр">[0]!еопрлр</definedName>
    <definedName name="еоуело">[0]!еоуело</definedName>
    <definedName name="еоуенуе">[0]!еоуенуе</definedName>
    <definedName name="еоуенуен">[0]!еоуенуен</definedName>
    <definedName name="еоуеоле">[0]!еоуеоле</definedName>
    <definedName name="еоулно">[0]!еоулно</definedName>
    <definedName name="еошне">[0]!еошне</definedName>
    <definedName name="еоывкаер">[0]!еоывкаер</definedName>
    <definedName name="епаво" hidden="1">{"glc1",#N/A,FALSE,"GLC";"glc2",#N/A,FALSE,"GLC";"glc3",#N/A,FALSE,"GLC";"glc4",#N/A,FALSE,"GLC";"glc5",#N/A,FALSE,"GLC"}</definedName>
    <definedName name="епакв" hidden="1">{"ÜBER mit FW","THU",FALSE,"HORE KORR!";"ÜBERSICHT",#N/A,FALSE,"BUDGET 1997_98";"ÜBER mit FW",#N/A,FALSE,"IST KUM KORR!!";"ÜBERSICHT",#N/A,FALSE,"PLAN KUM"}</definedName>
    <definedName name="епаорнл">[0]!епаорнл</definedName>
    <definedName name="епкрв">[0]!епкрв</definedName>
    <definedName name="епнлвен">[0]!епнлвен</definedName>
    <definedName name="епншншн">[0]!епншншн</definedName>
    <definedName name="ервово">[0]!ервово</definedName>
    <definedName name="ервоепопо">[0]!ервоепопо</definedName>
    <definedName name="еркенк">[0]!еркенк</definedName>
    <definedName name="еркеокен">[0]!еркеокен</definedName>
    <definedName name="еркер" hidden="1">{"'Prices'!$A$4:$J$27"}</definedName>
    <definedName name="ернвкевкве">[0]!ернвкевкве</definedName>
    <definedName name="ерр">[0]!ерр</definedName>
    <definedName name="ерцыукр">[0]!ерцыукр</definedName>
    <definedName name="ерывк">[0]!ерывк</definedName>
    <definedName name="еугегуе">[0]!еугегуе</definedName>
    <definedName name="еугекгу">[0]!еугекгу</definedName>
    <definedName name="еугену">[0]!еугену</definedName>
    <definedName name="еугеуен">[0]!еугеуен</definedName>
    <definedName name="еугу">[0]!еугу</definedName>
    <definedName name="еуеген">[0]!еуеген</definedName>
    <definedName name="еуекег">[0]!еуекег</definedName>
    <definedName name="еуенгекн">[0]!еуенгекн</definedName>
    <definedName name="еуенгкенг">[0]!еуенгкенг</definedName>
    <definedName name="ЕУК" hidden="1">{#N/A,#N/A,TRUE,"Буржуям"}</definedName>
    <definedName name="еукг">[0]!еукг</definedName>
    <definedName name="еукгенгуег">[0]!еукгенгуег</definedName>
    <definedName name="еукгуг">[0]!еукгуг</definedName>
    <definedName name="еукегкгк">[0]!еукегкгк</definedName>
    <definedName name="еукегуе">[0]!еукегуе</definedName>
    <definedName name="еукенекн">[0]!еукенекн</definedName>
    <definedName name="еукенуг">[0]!еукенуг</definedName>
    <definedName name="еукенуе">[0]!еукенуе</definedName>
    <definedName name="еукео">[0]!еукео</definedName>
    <definedName name="еукеукк">[0]!еукеукк</definedName>
    <definedName name="еукеуог">[0]!еукеуог</definedName>
    <definedName name="еукнгуег">[0]!еукнгуег</definedName>
    <definedName name="еукнену">[0]!еукнену</definedName>
    <definedName name="еукнкеу">[0]!еукнкеу</definedName>
    <definedName name="еукнн">[0]!еукнн</definedName>
    <definedName name="еукуекн">[0]!еукуекн</definedName>
    <definedName name="еукыекуг">[0]!еукыекуг</definedName>
    <definedName name="еуое">[0]!еуое</definedName>
    <definedName name="ефефееффефе" hidden="1">{"glc1",#N/A,FALSE,"GLC";"glc2",#N/A,FALSE,"GLC";"glc3",#N/A,FALSE,"GLC";"glc4",#N/A,FALSE,"GLC";"glc5",#N/A,FALSE,"GLC"}</definedName>
    <definedName name="ешгкщнгш">[0]!ешгкщнгш</definedName>
    <definedName name="ешеншенгшн">[0]!ешеншенгшн</definedName>
    <definedName name="ешкнгшк">[0]!ешкнгшк</definedName>
    <definedName name="ешнаеш">[0]!ешнаеш</definedName>
    <definedName name="ешншщнг">[0]!ешншщнг</definedName>
    <definedName name="еыекнц">[0]!еыекнц</definedName>
    <definedName name="еыеоыкое">[0]!еыеоыкое</definedName>
    <definedName name="еынокер">[0]!еынокер</definedName>
    <definedName name="ж" hidden="1">{#N/A,#N/A,FALSE,"Virgin Flightdeck"}</definedName>
    <definedName name="Ж.БЕТОН">'[56]см. ЦЕНЫ '!$B$34</definedName>
    <definedName name="ж\" hidden="1">{"'Prices'!$A$4:$J$27"}</definedName>
    <definedName name="жак" hidden="1">{"assets",#N/A,FALSE,"historicBS";"liab",#N/A,FALSE,"historicBS";"is",#N/A,FALSE,"historicIS";"ratios",#N/A,FALSE,"ratios"}</definedName>
    <definedName name="ЖД">[4]Лист1!$E$57</definedName>
    <definedName name="ждл" hidden="1">{"'Prices'!$A$4:$J$27"}</definedName>
    <definedName name="ждлор" hidden="1">{"Output-Min",#N/A,FALSE,"Output"}</definedName>
    <definedName name="ждлфпр" hidden="1">{"glc1",#N/A,FALSE,"GLC";"glc2",#N/A,FALSE,"GLC";"glc3",#N/A,FALSE,"GLC";"glc4",#N/A,FALSE,"GLC";"glc5",#N/A,FALSE,"GLC"}</definedName>
    <definedName name="ждо">#REF!</definedName>
    <definedName name="ждшн2" hidden="1">{"glc1",#N/A,FALSE,"GLC";"glc2",#N/A,FALSE,"GLC";"glc3",#N/A,FALSE,"GLC";"glc4",#N/A,FALSE,"GLC";"glc5",#N/A,FALSE,"GLC"}</definedName>
    <definedName name="железобетон">#REF!</definedName>
    <definedName name="жжж" hidden="1">{"glc1",#N/A,FALSE,"GLC";"glc2",#N/A,FALSE,"GLC";"glc3",#N/A,FALSE,"GLC";"glc4",#N/A,FALSE,"GLC";"glc5",#N/A,FALSE,"GLC"}</definedName>
    <definedName name="жз">[4]Изменения!$J$22</definedName>
    <definedName name="Жилая_площадь">#REF!</definedName>
    <definedName name="жилпом">[121]Concept!#REF!</definedName>
    <definedName name="жом">[4]Лист1!$G$89</definedName>
    <definedName name="жом_сс">[4]Лист1!$F$34</definedName>
    <definedName name="жппывнгд" hidden="1">{"glc1",#N/A,FALSE,"GLC";"glc2",#N/A,FALSE,"GLC";"glc3",#N/A,FALSE,"GLC";"glc4",#N/A,FALSE,"GLC";"glc5",#N/A,FALSE,"GLC"}</definedName>
    <definedName name="жрд">#REF!</definedName>
    <definedName name="з">#REF!</definedName>
    <definedName name="з_0">[4]Лист1!$AO$14</definedName>
    <definedName name="з_10">[4]Лист1!$AO$40</definedName>
    <definedName name="з_11">[4]Лист1!$AO$42</definedName>
    <definedName name="з_12">[4]Лист1!$AO$43</definedName>
    <definedName name="з_13">[4]Лист1!$AO$44</definedName>
    <definedName name="з_14">[4]Лист1!$AO$45</definedName>
    <definedName name="з_15">[4]Лист1!$AO$46</definedName>
    <definedName name="з_16">[4]Лист1!$AO$47</definedName>
    <definedName name="з_17">[4]Лист1!$AO$48</definedName>
    <definedName name="з_18">[4]Лист1!$AO$49</definedName>
    <definedName name="З_19">[4]Лист1!$AO$50</definedName>
    <definedName name="з_2">[4]Лист1!$AO$39</definedName>
    <definedName name="з_20">[4]Лист1!$AO$51</definedName>
    <definedName name="з_21">[4]Лист1!$AO$52</definedName>
    <definedName name="з_22">[4]Лист1!$AO$53</definedName>
    <definedName name="з_24">[4]Лист1!$AO$56</definedName>
    <definedName name="з_25">[4]Лист1!$AO$57</definedName>
    <definedName name="з_26">[4]Лист1!$AO$58</definedName>
    <definedName name="з_27">[4]Лист1!$AO$59</definedName>
    <definedName name="з_28">[4]Лист1!$AO$60</definedName>
    <definedName name="з_3">[4]Лист1!$AO$29</definedName>
    <definedName name="з_30">[4]Лист1!$AO$61</definedName>
    <definedName name="з_32">[4]Лист1!$AO$62</definedName>
    <definedName name="з_3кл">[4]Лист1!$N$21</definedName>
    <definedName name="з_4">[4]Лист1!$AO$30</definedName>
    <definedName name="з_5">[4]Лист1!$AO$31</definedName>
    <definedName name="з_7">[4]Лист1!$AO$32</definedName>
    <definedName name="з_8">[4]Лист1!$AO$33</definedName>
    <definedName name="з_9">[4]Лист1!$AO$34</definedName>
    <definedName name="З_Выработка">#REF!</definedName>
    <definedName name="з_зер">[4]Лист1!$AO$54</definedName>
    <definedName name="з_зер1">[4]Лист1!$AP$54</definedName>
    <definedName name="з_к">[4]Лист1!$AP$37</definedName>
    <definedName name="з_к1">[4]Лист1!$AO$37</definedName>
    <definedName name="з_мр">[4]Лист1!$N$23</definedName>
    <definedName name="З_НГДО">#REF!</definedName>
    <definedName name="З_НГДО_upper">#REF!</definedName>
    <definedName name="З_НПЗ">#REF!</definedName>
    <definedName name="З_НПЗ_upper">#REF!</definedName>
    <definedName name="З_НПО">#REF!</definedName>
    <definedName name="З_НПО_upper">#REF!</definedName>
    <definedName name="З_ОтчетПоВсемПлатежамФакт">#REF!</definedName>
    <definedName name="з_пф">[4]Лист1!$N$19</definedName>
    <definedName name="З_Рента">#REF!</definedName>
    <definedName name="З_СС">#REF!</definedName>
    <definedName name="з_яч">[4]Лист1!$N$20</definedName>
    <definedName name="з1">[4]Лист1!$AO$15</definedName>
    <definedName name="з2">[4]Лист1!$AO$15</definedName>
    <definedName name="ЗCС.нефть">#REF!</definedName>
    <definedName name="забор">#REF!</definedName>
    <definedName name="Зав" hidden="1">{#N/A,#N/A,TRUE,"Буржуям"}</definedName>
    <definedName name="Завод_Металлоконструкций">'[122]Оплата по графикам'!#REF!</definedName>
    <definedName name="Заволовки_для_печати">#REF!</definedName>
    <definedName name="_xlnm.Print_Titles">#REF!</definedName>
    <definedName name="Заголовок_для_печати">#REF!</definedName>
    <definedName name="ЗАДАНИЕ" hidden="1">{#N/A,#N/A,TRUE,"Буржуям"}</definedName>
    <definedName name="ЗАДАНИЕ." hidden="1">{#VALUE!,#N/A,TRUE,0}</definedName>
    <definedName name="задел" hidden="1">{#N/A,#N/A,TRUE,"Буржуям"}</definedName>
    <definedName name="заделкистены">#REF!</definedName>
    <definedName name="заз" hidden="1">{"Inflation-BaseYear",#N/A,FALSE,"Inputs"}</definedName>
    <definedName name="Займ">#REF!</definedName>
    <definedName name="зак_д">#REF!</definedName>
    <definedName name="заказ" hidden="1">{#N/A,#N/A,TRUE,"Буржуям"}</definedName>
    <definedName name="Заказчик">#REF!</definedName>
    <definedName name="Закупка">[4]Лист1!$AM$90</definedName>
    <definedName name="зап">#REF!</definedName>
    <definedName name="Зап_всего">#REF!</definedName>
    <definedName name="зарп" hidden="1">{#N/A,#N/A,TRUE,"Буржуям"}</definedName>
    <definedName name="застройка">#REF!</definedName>
    <definedName name="Застройщик">#REF!</definedName>
    <definedName name="затратн">#REF!</definedName>
    <definedName name="Затратный">#REF!</definedName>
    <definedName name="затраты">#REF!</definedName>
    <definedName name="затраты_труда">#REF!</definedName>
    <definedName name="Затрнов">'[111]общие сведения'!$B$7</definedName>
    <definedName name="защита">#REF!</definedName>
    <definedName name="здание_дисконт">#REF!</definedName>
    <definedName name="здлофы" hidden="1">{"glc1",#N/A,FALSE,"GLC";"glc2",#N/A,FALSE,"GLC";"glc3",#N/A,FALSE,"GLC";"glc4",#N/A,FALSE,"GLC";"glc5",#N/A,FALSE,"GLC"}</definedName>
    <definedName name="ЗДС.нефть">#REF!</definedName>
    <definedName name="ЗДС0.нефть">#REF!</definedName>
    <definedName name="ЗДС1.нефть">#REF!</definedName>
    <definedName name="зеленый" hidden="1">{#N/A,#N/A,TRUE,"Буржуям"}</definedName>
    <definedName name="зелень">#REF!</definedName>
    <definedName name="Зем_итог_ВТТ">'[4]Прочий товар'!$F$4</definedName>
    <definedName name="Земля_01">'[4]Хран сах '!#REF!</definedName>
    <definedName name="земля_03">'[4]Хран сах '!$F$84</definedName>
    <definedName name="земля_2002">'[4]Хран сах '!$F$60</definedName>
    <definedName name="земля1">'[123]Метод остатка'!#REF!</definedName>
    <definedName name="Земля2" hidden="1">{"glc1",#N/A,FALSE,"GLC";"glc2",#N/A,FALSE,"GLC";"glc3",#N/A,FALSE,"GLC";"glc4",#N/A,FALSE,"GLC";"glc5",#N/A,FALSE,"GLC"}</definedName>
    <definedName name="ЗЕМЛЯНЫЕ">#REF!</definedName>
    <definedName name="ЗемУ">[124]НФИк!$A$17</definedName>
    <definedName name="Зер">'[4]за месяц'!#REF!</definedName>
    <definedName name="зерно">[4]Лист1!#REF!</definedName>
    <definedName name="зерно_изм_сс">[4]Лист1!$AW$3:$AW$39</definedName>
    <definedName name="Зерносм_Курск_своб">[4]Лист1!$I$184</definedName>
    <definedName name="Зж" hidden="1">{"assets",#N/A,FALSE,"historicBS";"liab",#N/A,FALSE,"historicBS";"is",#N/A,FALSE,"historicIS";"ratios",#N/A,FALSE,"ratios"}</definedName>
    <definedName name="зждлшаовг" hidden="1">#REF!</definedName>
    <definedName name="ЗЗ_НГДО">#REF!</definedName>
    <definedName name="ЗЗ_НГДО_upper">#REF!</definedName>
    <definedName name="ЗЗ_НПЗ">#REF!</definedName>
    <definedName name="ЗЗ_НПЗ_upper">#REF!</definedName>
    <definedName name="ЗЗ_НПО">#REF!</definedName>
    <definedName name="ЗЗ_НПО_upper">#REF!</definedName>
    <definedName name="ззз" hidden="1">{#N/A,#N/A,TRUE,"Буржуям"}</definedName>
    <definedName name="ззх" hidden="1">{#N/A,#N/A,FALSE,"Virgin Flightdeck"}</definedName>
    <definedName name="зоны">#REF!</definedName>
    <definedName name="зпегшщпгшщ">[0]!зпегшщпгшщ</definedName>
    <definedName name="Зпл1">[4]Лист1!#REF!</definedName>
    <definedName name="ЗР">[4]Лист1!$F$29</definedName>
    <definedName name="ЗСДСП">[4]Лист1!$F$143</definedName>
    <definedName name="ЗСДСФ">[4]Лист1!$G$143</definedName>
    <definedName name="ЗСП">[4]Лист1!$D$143</definedName>
    <definedName name="ЗСПТН">[4]Лист1!$H$143</definedName>
    <definedName name="ЗСФ">[4]Лист1!$E$143</definedName>
    <definedName name="ЗСФТН">[4]Лист1!$I$143</definedName>
    <definedName name="ЗТ">[4]Лист1!$F$31</definedName>
    <definedName name="ЗУ">[90]НФИк!$A$17</definedName>
    <definedName name="ЗУ_Фаэтон">[125]НФИк!$A$17</definedName>
    <definedName name="зх">'[89]Метод остатка'!#REF!</definedName>
    <definedName name="зхщ">'[89]Метод остатка'!#REF!</definedName>
    <definedName name="зщдловны" hidden="1">#REF!</definedName>
    <definedName name="зщфтрыг" hidden="1">{"glc1",#N/A,FALSE,"GLC";"glc2",#N/A,FALSE,"GLC";"glc3",#N/A,FALSE,"GLC";"glc4",#N/A,FALSE,"GLC";"glc5",#N/A,FALSE,"GLC"}</definedName>
    <definedName name="и">#REF!</definedName>
    <definedName name="И_пот_тов">'[126]Машины и оборудование'!$E$56</definedName>
    <definedName name="И_Ср_Пр">'[126]Машины и оборудование'!$D$56</definedName>
    <definedName name="и45">#REF!</definedName>
    <definedName name="иЗз">[4]Лист1!$T$39</definedName>
    <definedName name="иЗм">[4]Лист1!$T$10</definedName>
    <definedName name="изм_всего_Ц">#REF!</definedName>
    <definedName name="изм_Ц">#REF!</definedName>
    <definedName name="изоленты">#REF!</definedName>
    <definedName name="иЗс">[4]Лист1!$T$14</definedName>
    <definedName name="ИКон">#REF!</definedName>
    <definedName name="ильюш.руб.">'[92]Гр+'!#REF!</definedName>
    <definedName name="ильюш.у.е.">'[92]Гр+'!#REF!</definedName>
    <definedName name="им" hidden="1">{"Приибыль энерг",#N/A,FALSE,"Энерг"}</definedName>
    <definedName name="има" hidden="1">{#VALUE!,#N/A,TRUE,0}</definedName>
    <definedName name="имена" hidden="1">{#N/A,#N/A,TRUE,"Буржуям"}</definedName>
    <definedName name="имущ">[118]списки!$E$2</definedName>
    <definedName name="Имя">[127]НФИк!$A$17</definedName>
    <definedName name="ИНач">#REF!</definedName>
    <definedName name="ИНВЕСИ">[51]П!#REF!</definedName>
    <definedName name="иНВЕСТ">[51]П!#REF!</definedName>
    <definedName name="ИнвестСвод">[128]ИнвестицииСвод!#REF!</definedName>
    <definedName name="инд">[127]график01.09.02!$D$3</definedName>
    <definedName name="Инд_цп_2000">#REF!</definedName>
    <definedName name="индекс">[82]Титул!$R$16</definedName>
    <definedName name="Индекс_композит">#REF!</definedName>
    <definedName name="Индекс_Пересчета">'[126]Здан-затр'!$C$83</definedName>
    <definedName name="Индекс_перехода">#REF!</definedName>
    <definedName name="Индекс_стоимости">[129]Служебный!$J$18</definedName>
    <definedName name="Индекс_цп">#REF!</definedName>
    <definedName name="Индексация">'[130]ЗП (Индексация)'!$A$3:$AM$356</definedName>
    <definedName name="ИНЕРТНЫЕ_СЫПУЧКА">'[56]см. ЦЕНЫ '!$B$160</definedName>
    <definedName name="Инт">[4]Лист1!#REF!</definedName>
    <definedName name="Инфл">#REF!</definedName>
    <definedName name="Инфраструктура_Infrastructure">[48]Inputs_Assumptions!$G$26</definedName>
    <definedName name="иОз">[4]Лист1!$U$39</definedName>
    <definedName name="иОм">[4]Лист1!$U$10</definedName>
    <definedName name="иОс">[4]Лист1!$U$14</definedName>
    <definedName name="Ира">[125]НФИк!$A$17</definedName>
    <definedName name="иргшщхэ">[0]!иргшщхэ</definedName>
    <definedName name="ирпваыгшл" hidden="1">{"glc1",#N/A,FALSE,"GLC";"glc2",#N/A,FALSE,"GLC";"glc3",#N/A,FALSE,"GLC";"glc4",#N/A,FALSE,"GLC";"glc5",#N/A,FALSE,"GLC"}</definedName>
    <definedName name="Испр.выработка">#REF!</definedName>
    <definedName name="исх">[131]Исходник!$A$2:$J$99</definedName>
    <definedName name="Исходные_данные">#REF!</definedName>
    <definedName name="ит">[4]Изменения!$D$30</definedName>
    <definedName name="ИтЗ">#REF!</definedName>
    <definedName name="иТо">[4]Лист1!$Z$54</definedName>
    <definedName name="итог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итог03гр">#REF!</definedName>
    <definedName name="итог03руб.">#REF!</definedName>
    <definedName name="итог03у.е.">#REF!</definedName>
    <definedName name="итог04гр">#REF!</definedName>
    <definedName name="итог04руб">#REF!</definedName>
    <definedName name="итог04у.е.">#REF!</definedName>
    <definedName name="Итог1">#REF!</definedName>
    <definedName name="Итог2">#REF!</definedName>
    <definedName name="Итог3">[132]АБ!#REF!</definedName>
    <definedName name="ИТОГО_гречиха">[4]Лист1!$K$144</definedName>
    <definedName name="ИТОГО_гречиха_неопл">[4]Лист1!$L$144</definedName>
    <definedName name="Итого_гречиха_своб">[4]Лист1!$I$144</definedName>
    <definedName name="ИТОГО_закупка">[4]Лист1!$K$237</definedName>
    <definedName name="Итого_масло">[4]Лист1!$K$162</definedName>
    <definedName name="ИТОГО_масло_неопл">[4]Лист1!$L$162</definedName>
    <definedName name="Итого_масло_своб">[4]Лист1!$I$162</definedName>
    <definedName name="Итого_подс">[4]Лист1!$K$148</definedName>
    <definedName name="Итого_подс_неопл">[4]Лист1!$L$148</definedName>
    <definedName name="Итого_подс_своб">[4]Лист1!$I$148</definedName>
    <definedName name="Итого_просо">[4]Лист1!$K$155</definedName>
    <definedName name="ИТОГО_просо_неопл">[4]Лист1!$L$155</definedName>
    <definedName name="Итого_просо_своб">[4]Лист1!$I$155</definedName>
    <definedName name="Итого_пш_3">[4]Лист1!$K$40</definedName>
    <definedName name="ИТОГО_пш_3_неопл">[4]Лист1!$L$40</definedName>
    <definedName name="Итого_пш_3_своб">[4]Лист1!$I$40</definedName>
    <definedName name="Итого_пш_4">[4]Лист1!$K$52</definedName>
    <definedName name="ИТОГО_пш_4_неопл">[4]Лист1!$L$52</definedName>
    <definedName name="Итого_пш_4_своб">[4]Лист1!$I$52</definedName>
    <definedName name="Итого_пш_5">[4]Лист1!$K$97</definedName>
    <definedName name="Итого_пш_5_своб">[4]Лист1!$I$97</definedName>
    <definedName name="ИТОГО_пш_ф_неопл">[4]Лист1!$L$97</definedName>
    <definedName name="Итого_ячм_своб">[4]Лист1!$I$141</definedName>
    <definedName name="ИТОГО_ячмень">[4]Лист1!$K$141</definedName>
    <definedName name="итьиьтиь" hidden="1">{"glc1",#N/A,FALSE,"GLC";"glc2",#N/A,FALSE,"GLC";"glc3",#N/A,FALSE,"GLC";"glc4",#N/A,FALSE,"GLC";"glc5",#N/A,FALSE,"GLC"}</definedName>
    <definedName name="ИХ">[133]Контрагенты!$C$6:$C$22</definedName>
    <definedName name="июл03гр">#REF!</definedName>
    <definedName name="июл03у.е.">#REF!</definedName>
    <definedName name="июл04гр">#REF!</definedName>
    <definedName name="июл04руб">#REF!</definedName>
    <definedName name="июл04у.е.">#REF!</definedName>
    <definedName name="июль" hidden="1">{#N/A,#N/A,TRUE,"Буржуям"}</definedName>
    <definedName name="июль_Люда">[134]Трансформаторн!$F$8</definedName>
    <definedName name="июль03руб.">#REF!</definedName>
    <definedName name="июль5" hidden="1">{#N/A,#N/A,TRUE,"Буржуям"}</definedName>
    <definedName name="июн03гр">#REF!</definedName>
    <definedName name="июн03руб.">#REF!</definedName>
    <definedName name="июн03у.е.">#REF!</definedName>
    <definedName name="июн04гр">#REF!</definedName>
    <definedName name="июн04руб">#REF!</definedName>
    <definedName name="июн04у.е.">#REF!</definedName>
    <definedName name="июнь" hidden="1">{#N/A,#N/A,TRUE,"Буржуям"}</definedName>
    <definedName name="июнь1" hidden="1">{#N/A,#N/A,TRUE,"Буржуям"}</definedName>
    <definedName name="июнь101" hidden="1">{#N/A,#N/A,TRUE,"Буржуям"}</definedName>
    <definedName name="июнь6" hidden="1">{#N/A,#N/A,TRUE,"Буржуям"}</definedName>
    <definedName name="й" hidden="1">{#N/A,#N/A,FALSE,"FA_1";#N/A,#N/A,FALSE,"Dep'n SE";#N/A,#N/A,FALSE,"Dep'n FC"}</definedName>
    <definedName name="йй" hidden="1">{#N/A,#N/A,TRUE,"Буржуям"}</definedName>
    <definedName name="ййй">OFFSET([135]справочники!$A$83,0,0, COUNTA([135]справочники!$A$83:$A$98),1)</definedName>
    <definedName name="йййййййй" hidden="1">{#N/A,#N/A,TRUE,"Буржуям"}</definedName>
    <definedName name="ййууу" hidden="1">[84]MAIN!#REF!</definedName>
    <definedName name="ййцуйц">OFFSET([135]справочники!$A$83,0,0, COUNTA([135]справочники!$A$83:$A$98),1)</definedName>
    <definedName name="йуц" hidden="1">#REF!</definedName>
    <definedName name="йф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йцу">[0]!йцу</definedName>
    <definedName name="йцув" hidden="1">#REF!</definedName>
    <definedName name="йцук" hidden="1">#REF!</definedName>
    <definedName name="ЙЦУКЙЦУК" hidden="1">{#VALUE!,#N/A,TRUE,0}</definedName>
    <definedName name="йцуу" hidden="1">#REF!</definedName>
    <definedName name="йцууыв">#REF!</definedName>
    <definedName name="к" hidden="1">{#N/A,#N/A,FALSE,"Aging Summary";#N/A,#N/A,FALSE,"Ratio Analysis";#N/A,#N/A,FALSE,"Test 120 Day Accts";#N/A,#N/A,FALSE,"Tickmarks"}</definedName>
    <definedName name="к.25.у.е.">'[92]Гр+'!#REF!</definedName>
    <definedName name="к_выб">#REF!</definedName>
    <definedName name="К_К">#REF!</definedName>
    <definedName name="К_К_upper">#REF!</definedName>
    <definedName name="К_НГДО">#REF!</definedName>
    <definedName name="К_НГДО_upper">#REF!</definedName>
    <definedName name="К_НПЗ">#REF!</definedName>
    <definedName name="К_НПЗ_upper">#REF!</definedName>
    <definedName name="К_НПО">#REF!</definedName>
    <definedName name="К_НПО_upper">#REF!</definedName>
    <definedName name="К_поправка">#REF!</definedName>
    <definedName name="к_пост">#REF!</definedName>
    <definedName name="к_Р28">#REF!</definedName>
    <definedName name="к1">[51]П!$C$136</definedName>
    <definedName name="К1_К">#REF!</definedName>
    <definedName name="К1_К_upper">#REF!</definedName>
    <definedName name="к25.руб.">'[92]Гр+'!#REF!</definedName>
    <definedName name="к25с.руб.">'[92]Гр+'!#REF!</definedName>
    <definedName name="к25с.у.е.">'[92]Гр+'!#REF!</definedName>
    <definedName name="к26.руб.">'[92]Гр+'!#REF!</definedName>
    <definedName name="к26.у.е.">'[92]Гр+'!#REF!</definedName>
    <definedName name="к26с.руб.">'[92]Гр+'!#REF!</definedName>
    <definedName name="к26с.у.е.">'[92]Гр+'!#REF!</definedName>
    <definedName name="к4">[51]П!$C$139</definedName>
    <definedName name="к4.руб.">'[85]Сводная ЛССМУ'!#REF!</definedName>
    <definedName name="к4.у.е.">'[85]Сводная ЛССМУ'!#REF!</definedName>
    <definedName name="к5.руб.">'[92]Гр+'!#REF!</definedName>
    <definedName name="к5.у.е.">'[92]Гр+'!#REF!</definedName>
    <definedName name="к6ш7шк">[0]!к6ш7шк</definedName>
    <definedName name="к7ш67">[0]!к7ш67</definedName>
    <definedName name="кабели">#REF!</definedName>
    <definedName name="каврне" hidden="1">{"'9'!$A$1:$S$99"}</definedName>
    <definedName name="Казан_ПЭ">'[4]#ССЫЛКА'!$B$64</definedName>
    <definedName name="Казан_ПЭ_Ц">'[4]#ССЫЛКА'!$C$64</definedName>
    <definedName name="Казань_кредОАО">[4]Лист1!$F$137</definedName>
    <definedName name="казеин">[4]Лист1!$R$89</definedName>
    <definedName name="кам" hidden="1">#REF!</definedName>
    <definedName name="камни">[98]благоустр.!#REF!</definedName>
    <definedName name="канализация">#REF!</definedName>
    <definedName name="кап" hidden="1">{"glc1",#N/A,FALSE,"GLC";"glc2",#N/A,FALSE,"GLC";"glc3",#N/A,FALSE,"GLC";"glc4",#N/A,FALSE,"GLC";"glc5",#N/A,FALSE,"GLC"}</definedName>
    <definedName name="кап.">[136]Кредит!$D$6</definedName>
    <definedName name="капвл">#REF!</definedName>
    <definedName name="капитальность">#REF!</definedName>
    <definedName name="каск5.физ.долг">#REF!</definedName>
    <definedName name="каск5.юр.долг">#REF!</definedName>
    <definedName name="кау" hidden="1">{"assets",#N/A,FALSE,"historicBS";"liab",#N/A,FALSE,"historicBS";"is",#N/A,FALSE,"historicIS";"ratios",#N/A,FALSE,"ratios"}</definedName>
    <definedName name="кафе">#REF!</definedName>
    <definedName name="кафе1">#REF!</definedName>
    <definedName name="кв.м.">#REF!</definedName>
    <definedName name="квота_2002">[4]MACRO!$F$37</definedName>
    <definedName name="квр_5_1">#REF!</definedName>
    <definedName name="квр_5_2">#REF!</definedName>
    <definedName name="квр_5_3">#REF!</definedName>
    <definedName name="квр_6_1">#REF!</definedName>
    <definedName name="кг6г">[0]!кг6г</definedName>
    <definedName name="кггу">[0]!кггу</definedName>
    <definedName name="кгегенге">[0]!кгегенге</definedName>
    <definedName name="кгегу">[0]!кгегу</definedName>
    <definedName name="кгекгег">[0]!кгекгег</definedName>
    <definedName name="кгекнген">[0]!кгекнген</definedName>
    <definedName name="кгенгекг">[0]!кгенгекг</definedName>
    <definedName name="кгенгк">[0]!кгенгк</definedName>
    <definedName name="кгенгнгн">[0]!кгенгнгн</definedName>
    <definedName name="кгенего">[0]!кгенего</definedName>
    <definedName name="кгенкенке">[0]!кгенкенке</definedName>
    <definedName name="кгеногн">[0]!кгеногн</definedName>
    <definedName name="кгкгене">[0]!кгкгене</definedName>
    <definedName name="кгкекнк">[0]!кгкекнк</definedName>
    <definedName name="кгкенгкенке">[0]!кгкенгкенке</definedName>
    <definedName name="кгкене">[0]!кгкене</definedName>
    <definedName name="кгкоуол">[0]!кгкоуол</definedName>
    <definedName name="кгнкнк">[0]!кгнкнк</definedName>
    <definedName name="кгуг">[0]!кгуг</definedName>
    <definedName name="кгуе">[0]!кгуе</definedName>
    <definedName name="кгуеген">[0]!кгуеген</definedName>
    <definedName name="кгуегуе">[0]!кгуегуе</definedName>
    <definedName name="кгуенг">[0]!кгуенг</definedName>
    <definedName name="кгуенгкенгекнгг">[0]!кгуенгкенгекнгг</definedName>
    <definedName name="кгуене">[0]!кгуене</definedName>
    <definedName name="кгуке">[0]!кгуке</definedName>
    <definedName name="кгукегуенгу">[0]!кгукегуенгу</definedName>
    <definedName name="кд">[4]Лист1!$I$2</definedName>
    <definedName name="КДС">#REF!</definedName>
    <definedName name="КДС0">#REF!</definedName>
    <definedName name="КДС1">#REF!</definedName>
    <definedName name="ке" hidden="1">'[137]Share Price 2002'!#REF!</definedName>
    <definedName name="ке67шк6">[0]!ке67шк6</definedName>
    <definedName name="кеаш6н7шк">[0]!кеаш6н7шк</definedName>
    <definedName name="кегге">[0]!кегге</definedName>
    <definedName name="кеггу">[0]!кеггу</definedName>
    <definedName name="кегегег">[0]!кегегег</definedName>
    <definedName name="кегегнуе">[0]!кегегнуе</definedName>
    <definedName name="кегек765">[0]!кегек765</definedName>
    <definedName name="кегекнгуг">[0]!кегекнгуг</definedName>
    <definedName name="кегенгенг">[0]!кегенгенг</definedName>
    <definedName name="кегкге">[0]!кегкге</definedName>
    <definedName name="кегкгке">[0]!кегкгке</definedName>
    <definedName name="кегкегу">[0]!кегкегу</definedName>
    <definedName name="кегкенг">[0]!кегкенг</definedName>
    <definedName name="кегкенк">[0]!кегкенк</definedName>
    <definedName name="кегкенкн">[0]!кегкенкн</definedName>
    <definedName name="кегнгк">[0]!кегнгк</definedName>
    <definedName name="кегогукен">[0]!кегогукен</definedName>
    <definedName name="кегугуг">[0]!кегугуг</definedName>
    <definedName name="кегуегкн">[0]!кегуегкн</definedName>
    <definedName name="кегуекогу">[0]!кегуекогу</definedName>
    <definedName name="кегуенг">'[120]Метод остатка'!#REF!</definedName>
    <definedName name="кегуенгек">[0]!кегуенгек</definedName>
    <definedName name="кегуенгрено">[0]!кегуенгрено</definedName>
    <definedName name="кегукгукег">[0]!кегукгукег</definedName>
    <definedName name="кегуке">[0]!кегуке</definedName>
    <definedName name="кеекну">[0]!кеекну</definedName>
    <definedName name="кеенуену">[0]!кеенуену</definedName>
    <definedName name="кеепро">[0]!кеепро</definedName>
    <definedName name="кекгек">[0]!кекгек</definedName>
    <definedName name="кекегер">[0]!кекегер</definedName>
    <definedName name="кекеке">[0]!кекеке</definedName>
    <definedName name="кекеогеог">[0]!кекеогеог</definedName>
    <definedName name="кекерке">[0]!кекерке</definedName>
    <definedName name="кекеуек">[0]!кекеуек</definedName>
    <definedName name="кекецц">[0]!кекецц</definedName>
    <definedName name="кеккг">[0]!кеккг</definedName>
    <definedName name="кекнекн">[0]!кекнекн</definedName>
    <definedName name="кекнкену">[0]!кекнкену</definedName>
    <definedName name="кекрке">[0]!кекрке</definedName>
    <definedName name="кекугекну">[0]!кекугекну</definedName>
    <definedName name="келг">[0]!келг</definedName>
    <definedName name="кен">[0]!кен</definedName>
    <definedName name="кенгк">[0]!кенгк</definedName>
    <definedName name="кенгн">[0]!кенгн</definedName>
    <definedName name="кенгнг">[0]!кенгнг</definedName>
    <definedName name="кенгугу">[0]!кенгугу</definedName>
    <definedName name="кенгуен">[0]!кенгуен</definedName>
    <definedName name="кенгуенг">[0]!кенгуенг</definedName>
    <definedName name="кенгуенлен">#REF!</definedName>
    <definedName name="кенекнук">[0]!кенекнук</definedName>
    <definedName name="кенен">[0]!кенен</definedName>
    <definedName name="кененун">[0]!кененун</definedName>
    <definedName name="кенеогн">[0]!кенеогн</definedName>
    <definedName name="кенкгегееугуг">[0]!кенкгегееугуг</definedName>
    <definedName name="кенкгк">[0]!кенкгк</definedName>
    <definedName name="кенкгш67гк6">[0]!кенкгш67гк6</definedName>
    <definedName name="кенкенгек">[0]!кенкенгек</definedName>
    <definedName name="кенкенке">[0]!кенкенке</definedName>
    <definedName name="кенкеуке">[0]!кенкеуке</definedName>
    <definedName name="кенкн">[0]!кенкн</definedName>
    <definedName name="кенкнг">[0]!кенкнг</definedName>
    <definedName name="кенкнеу">[0]!кенкнеу</definedName>
    <definedName name="кенкнеук">[0]!кенкнеук</definedName>
    <definedName name="кенкнк">[0]!кенкнк</definedName>
    <definedName name="кенкнке">[0]!кенкнке</definedName>
    <definedName name="кенкнук">[0]!кенкнук</definedName>
    <definedName name="кенкнукен">[0]!кенкнукен</definedName>
    <definedName name="кенкугг">[0]!кенкугг</definedName>
    <definedName name="кенну">[0]!кенну</definedName>
    <definedName name="кеногуену">[0]!кеногуену</definedName>
    <definedName name="кенрпав" hidden="1">{"glc1",#N/A,FALSE,"GLC";"glc2",#N/A,FALSE,"GLC";"glc3",#N/A,FALSE,"GLC";"glc4",#N/A,FALSE,"GLC";"glc5",#N/A,FALSE,"GLC"}</definedName>
    <definedName name="кенрыке">[0]!кенрыке</definedName>
    <definedName name="кену">[0]!кену</definedName>
    <definedName name="кенугуен">[0]!кенугуен</definedName>
    <definedName name="кенугуенек">[0]!кенугуенек</definedName>
    <definedName name="кенуегн">[0]!кенуегн</definedName>
    <definedName name="кенуек">[0]!кенуек</definedName>
    <definedName name="кенуене">[0]!кенуене</definedName>
    <definedName name="кенукгне">[0]!кенукгне</definedName>
    <definedName name="кенукн">[0]!кенукн</definedName>
    <definedName name="кенуне">[0]!кенуне</definedName>
    <definedName name="кенуну">[0]!кенуну</definedName>
    <definedName name="кенцкцо">[0]!кенцкцо</definedName>
    <definedName name="кенше">[0]!кенше</definedName>
    <definedName name="кеншеншнгш">[0]!кеншеншнгш</definedName>
    <definedName name="кеогеоген">[0]!кеогеоген</definedName>
    <definedName name="кеогуног">[0]!кеогуног</definedName>
    <definedName name="кеоекуо">[0]!кеоекуо</definedName>
    <definedName name="кеоеноео">[0]!кеоеноео</definedName>
    <definedName name="кеоеноуо">[0]!кеоеноуо</definedName>
    <definedName name="кеокуо">[0]!кеокуо</definedName>
    <definedName name="кеоо">[0]!кеоо</definedName>
    <definedName name="кеорен">[0]!кеорен</definedName>
    <definedName name="кеореро">[0]!кеореро</definedName>
    <definedName name="кеоркераеп">[0]!кеоркераеп</definedName>
    <definedName name="кеоуненоен">[0]!кеоуненоен</definedName>
    <definedName name="кеоыка">[0]!кеоыка</definedName>
    <definedName name="кервке">[0]!кервке</definedName>
    <definedName name="кереенг">[0]!кереенг</definedName>
    <definedName name="кереке">[0]!кереке</definedName>
    <definedName name="керепр">[0]!керепр</definedName>
    <definedName name="керк">[0]!керк</definedName>
    <definedName name="керкер" hidden="1">{"'Prices'!$A$4:$J$27"}</definedName>
    <definedName name="керкуерр">[0]!керкуерр</definedName>
    <definedName name="кернеенен">[0]!кернеенен</definedName>
    <definedName name="керогкекек">[0]!керогкекек</definedName>
    <definedName name="кероеуое">[0]!кероеуое</definedName>
    <definedName name="керороек">[0]!керороек</definedName>
    <definedName name="кероукоуен">[0]!кероукоуен</definedName>
    <definedName name="керпкр">[0]!керпкр</definedName>
    <definedName name="керукеору">[0]!керукеору</definedName>
    <definedName name="керыке">[0]!керыке</definedName>
    <definedName name="кеуген">[0]!кеуген</definedName>
    <definedName name="кеугуен">[0]!кеугуен</definedName>
    <definedName name="кеуеен">[0]!кеуеен</definedName>
    <definedName name="кеуекнек">[0]!кеуекнек</definedName>
    <definedName name="кеуенек">[0]!кеуенек</definedName>
    <definedName name="кеукгекнге">[0]!кеукгекнге</definedName>
    <definedName name="кеукенук">[0]!кеукенук</definedName>
    <definedName name="кеукеу">[0]!кеукеу</definedName>
    <definedName name="КЕУКЕУКЕ" hidden="1">{#N/A,#N/A,TRUE,"Буржуям"}</definedName>
    <definedName name="кеукнкен">[0]!кеукнкен</definedName>
    <definedName name="КЕУКПУПКУКП" hidden="1">{#N/A,#N/A,TRUE,"Буржуям"}</definedName>
    <definedName name="кеуне">[0]!кеуне</definedName>
    <definedName name="кеуну">[0]!кеуну</definedName>
    <definedName name="кецке">[0]!кецке</definedName>
    <definedName name="кешк76ш">[0]!кешк76ш</definedName>
    <definedName name="кешнгшш">[0]!кешнгшш</definedName>
    <definedName name="кз">#REF!</definedName>
    <definedName name="КЗ_Всего">#REF!</definedName>
    <definedName name="КЗ_КФВ">[4]MACRO!$F$18</definedName>
    <definedName name="КЗ_лиз_РСК_долл">[4]Лист1!$H$498</definedName>
    <definedName name="КЗ_ос">[4]MACRO!$F$32</definedName>
    <definedName name="Кз_перераб">[4]Лист1!$E$138</definedName>
    <definedName name="Кз_РСК">[4]Лист1!$E$53</definedName>
    <definedName name="КЗ_сах">[4]MACRO!$F$157</definedName>
    <definedName name="Кз_стр">[4]Лист1!$E$130</definedName>
    <definedName name="Кз_тов">[4]Лист1!$E$39</definedName>
    <definedName name="Кз_усл">[4]Лист1!$E$123</definedName>
    <definedName name="Кз_хоз">[4]Лист1!$E$131</definedName>
    <definedName name="КЗ_экспл">[4]MACRO!$F$146</definedName>
    <definedName name="кз1">#REF!</definedName>
    <definedName name="кз2">#REF!</definedName>
    <definedName name="Кипр" hidden="1">#REF!</definedName>
    <definedName name="Кириши">'[89]Метод остатка'!#REF!</definedName>
    <definedName name="КИТ">'[138]Оплата по графикам'!#REF!</definedName>
    <definedName name="кк">[4]Лист1!$K$37</definedName>
    <definedName name="КК1_К">#REF!</definedName>
    <definedName name="КК1_К_upper">#REF!</definedName>
    <definedName name="ккгекгекн">[0]!ккгекгекн</definedName>
    <definedName name="ккегкке">[0]!ккегкке</definedName>
    <definedName name="ккек">[0]!ккек</definedName>
    <definedName name="ккеке" hidden="1">[84]MAIN!#REF!</definedName>
    <definedName name="ккекко">[0]!ккекко</definedName>
    <definedName name="ккенкн">[0]!ккенкн</definedName>
    <definedName name="ккенкну">[0]!ккенкну</definedName>
    <definedName name="ккенкун">[0]!ккенкун</definedName>
    <definedName name="КККККККК" hidden="1">{#N/A,#N/A,TRUE,"Буржуям"}</definedName>
    <definedName name="ккккккккк">[0]!ккккккккк</definedName>
    <definedName name="ккккккккккк">[0]!ккккккккккк</definedName>
    <definedName name="ккккккккккккк">[0]!ккккккккккккк</definedName>
    <definedName name="КККККУУУ" hidden="1">{#N/A,#N/A,TRUE,"Буржуям"}</definedName>
    <definedName name="ккнккн">[0]!ккнккн</definedName>
    <definedName name="ккнкн">[0]!ккнкн</definedName>
    <definedName name="ккуфу">[0]!ккуфу</definedName>
    <definedName name="кладкакирпичная">#REF!</definedName>
    <definedName name="класс">#REF!</definedName>
    <definedName name="клотрлш">[0]!клотрлш</definedName>
    <definedName name="КН">'[4]Хран сах '!#REF!</definedName>
    <definedName name="кн7шк7">[0]!кн7шк7</definedName>
    <definedName name="кнгкгу">[0]!кнгкгу</definedName>
    <definedName name="кнгннг">[0]!кнгннг</definedName>
    <definedName name="кнгпдг">[0]!кнгпдг</definedName>
    <definedName name="кнгрког">[0]!кнгрког</definedName>
    <definedName name="кнгуен">[0]!кнгуен</definedName>
    <definedName name="кнгуену">[0]!кнгуену</definedName>
    <definedName name="кнгшнгшн">[0]!кнгшнгшн</definedName>
    <definedName name="кнгшншкн">[0]!кнгшншкн</definedName>
    <definedName name="кнеген">[0]!кнеген</definedName>
    <definedName name="кнененк">[0]!кнененк</definedName>
    <definedName name="кненкг">[0]!кненкг</definedName>
    <definedName name="кнеунен">[0]!кнеунен</definedName>
    <definedName name="кнеуунк">[0]!кнеуунк</definedName>
    <definedName name="книга222" hidden="1">{#N/A,#N/A,TRUE,"Буржуям"}</definedName>
    <definedName name="кнкгекг">[0]!кнкгекг</definedName>
    <definedName name="кнкене">[0]!кнкене</definedName>
    <definedName name="кнкенк">[0]!кнкенк</definedName>
    <definedName name="кнкенкгк">[0]!кнкенкгк</definedName>
    <definedName name="кнкенкр">[0]!кнкенкр</definedName>
    <definedName name="кнкену">[0]!кнкену</definedName>
    <definedName name="кнкеу">[0]!кнкеу</definedName>
    <definedName name="кнкецгек">[0]!кнкецгек</definedName>
    <definedName name="кнкнкун">[0]!кнкнкун</definedName>
    <definedName name="кнкнук">[0]!кнкнук</definedName>
    <definedName name="кнкунекен">[0]!кнкунекен</definedName>
    <definedName name="кно" hidden="1">{"'Prices'!$A$4:$J$27"}</definedName>
    <definedName name="кнокгн">[0]!кнокгн</definedName>
    <definedName name="кнуг">[0]!кнуг</definedName>
    <definedName name="кнугекге">[0]!кнугекге</definedName>
    <definedName name="кнуимн">[0]!кнуимн</definedName>
    <definedName name="кнукен">[0]!кнукен</definedName>
    <definedName name="кнукенк">[0]!кнукенк</definedName>
    <definedName name="кнукернг">[0]!кнукернг</definedName>
    <definedName name="кнукеу">[0]!кнукеу</definedName>
    <definedName name="кнукн">[0]!кнукн</definedName>
    <definedName name="кнуне">[0]!кнуне</definedName>
    <definedName name="кнункнеу">[0]!кнункнеу</definedName>
    <definedName name="ко">[0]!ко</definedName>
    <definedName name="ковекнвк">[0]!ковекнвк</definedName>
    <definedName name="ковкеке">[0]!ковкеке</definedName>
    <definedName name="когегу">[0]!когегу</definedName>
    <definedName name="когек">[0]!когек</definedName>
    <definedName name="когногг">[0]!когногг</definedName>
    <definedName name="Код">#REF!</definedName>
    <definedName name="Код_Зерномол">#REF!</definedName>
    <definedName name="Код_Н">#REF!</definedName>
    <definedName name="код_статьи">'[96]расш доходов'!$C$13:$C$16</definedName>
    <definedName name="код_статьи_имущество">[96]расш_ББ_1!$C$15:$C$18</definedName>
    <definedName name="код_статьи_р">'[96]расш расходов'!$C$13:$C$17</definedName>
    <definedName name="коекоек">[0]!коекоек</definedName>
    <definedName name="коеое">[0]!коеое</definedName>
    <definedName name="коеп">[0]!коеп</definedName>
    <definedName name="кокеоеву">[0]!кокеоеву</definedName>
    <definedName name="кокеоеко">[0]!кокеоеко</definedName>
    <definedName name="кокеоу">[0]!кокеоу</definedName>
    <definedName name="кокцокр">[0]!кокцокр</definedName>
    <definedName name="кол.ст.">#REF!</definedName>
    <definedName name="колво">'[120]Метод остатка'!#REF!</definedName>
    <definedName name="Количество_торговых_мест">'[89]Метод остатка'!#REF!</definedName>
    <definedName name="количествосу">#REF!</definedName>
    <definedName name="количство">[4]Лист1!#REF!</definedName>
    <definedName name="колодки">#REF!</definedName>
    <definedName name="ком.граф.">[139]Лист4!#REF!</definedName>
    <definedName name="ком.руб.">[139]Лист4!#REF!</definedName>
    <definedName name="ком.у.е.">[139]Лист4!#REF!</definedName>
    <definedName name="Комиссия">[140]Параметры!$B$22</definedName>
    <definedName name="Комиссия_тек">[4]Лист1!$K$204</definedName>
    <definedName name="коммар">[121]Concept!#REF!</definedName>
    <definedName name="коммпр">[121]Concept!#REF!</definedName>
    <definedName name="Коммрасх_всего">#REF!</definedName>
    <definedName name="кондиционер">#REF!</definedName>
    <definedName name="конегу">[0]!конегу</definedName>
    <definedName name="конекцоцко">[0]!конекцоцко</definedName>
    <definedName name="Конс">'[4]Фин. вложения'!$J$36</definedName>
    <definedName name="КонсБаланс">#REF!</definedName>
    <definedName name="Консервы">[4]Лист1!$D$89</definedName>
    <definedName name="Консервы_РПК">[4]Лист1!$H$89</definedName>
    <definedName name="Константа_сглаж">'[141]Прогноз СС'!#REF!</definedName>
    <definedName name="Контакты">#REF!</definedName>
    <definedName name="контр" hidden="1">{"glc1",#N/A,FALSE,"GLC";"glc2",#N/A,FALSE,"GLC";"glc3",#N/A,FALSE,"GLC";"glc4",#N/A,FALSE,"GLC";"glc5",#N/A,FALSE,"GLC"}</definedName>
    <definedName name="КонтрАгенты">OFFSET([142]Лист2!$F$500,0,0,COUNTA([142]Лист2!$F$500:$F$500),1)</definedName>
    <definedName name="Контракт2" hidden="1">{"glc1",#N/A,FALSE,"GLC";"glc2",#N/A,FALSE,"GLC";"glc3",#N/A,FALSE,"GLC";"glc4",#N/A,FALSE,"GLC";"glc5",#N/A,FALSE,"GLC"}</definedName>
    <definedName name="конф" hidden="1">{"'РП (2)'!$A$5:$S$150"}</definedName>
    <definedName name="кооек">[0]!кооек</definedName>
    <definedName name="Копия">#REF!</definedName>
    <definedName name="кор">'[109]общие сведения'!$B$14</definedName>
    <definedName name="кор_ка">[4]Лист1!$V$234</definedName>
    <definedName name="корм_петухи">[111]нормы!#REF!</definedName>
    <definedName name="корн">[4]Лист1!$Z$89</definedName>
    <definedName name="короба">#REF!</definedName>
    <definedName name="КОРОБКА_РАСПАЯЧ">'[42]матер.(октябрь)'!#REF!</definedName>
    <definedName name="коробки">#REF!</definedName>
    <definedName name="корова" hidden="1">{#N/A,#N/A,TRUE,"Буржуям"}</definedName>
    <definedName name="Корп">#REF!</definedName>
    <definedName name="корп4.физ.долг">#REF!</definedName>
    <definedName name="корп4.юр.долг">#REF!</definedName>
    <definedName name="Корпус">#REF!</definedName>
    <definedName name="коррект">[4]Лист1!$X$3:$X$218</definedName>
    <definedName name="коу">[0]!коу</definedName>
    <definedName name="коуен">'[120]Метод остатка'!#REF!</definedName>
    <definedName name="коуеоео">[0]!коуеоео</definedName>
    <definedName name="коукногео">[0]!коукногео</definedName>
    <definedName name="коулне">[0]!коулне</definedName>
    <definedName name="коуо">[0]!коуо</definedName>
    <definedName name="КОФ">'[118]исходные данные'!$D$9</definedName>
    <definedName name="Коэф1969_дек2005">#REF!</definedName>
    <definedName name="КоэфИнфляции">#REF!</definedName>
    <definedName name="КП">#REF!</definedName>
    <definedName name="кперкге">[0]!кперкге</definedName>
    <definedName name="кпеыфр">[0]!кпеыфр</definedName>
    <definedName name="Кпопр">#REF!</definedName>
    <definedName name="кпрфу">[0]!кпрфу</definedName>
    <definedName name="кпуыпкув">[0]!кпуыпкув</definedName>
    <definedName name="кпфпу">[0]!кпфпу</definedName>
    <definedName name="кр">'[4]2 деньги в пути'!#REF!</definedName>
    <definedName name="кр_агро">'[4] БДДС'!$M$140</definedName>
    <definedName name="кр_БП">'[4] БДДС'!$M$352</definedName>
    <definedName name="Кр_зона_02">[4]Лист1!#REF!</definedName>
    <definedName name="кр_НАС">'[4] БДДС'!$M$319</definedName>
    <definedName name="кр_НПК">[4]б!#REF!</definedName>
    <definedName name="КРАСКИ">'[56]см. ЦЕНЫ '!$B$238</definedName>
    <definedName name="Красн_пш_3_своб">[4]Лист1!$I$39</definedName>
    <definedName name="Красн_пш_5_своб">[4]Лист1!$I$86</definedName>
    <definedName name="Краснод_пш_3_неопл">[4]Лист1!$L$39</definedName>
    <definedName name="Краснодар_пш_3">[4]Лист1!$K$39</definedName>
    <definedName name="Краснодар_пш_5">[4]Лист1!$K$86</definedName>
    <definedName name="Краснодар_пш_ф_неопл">[4]Лист1!$L$86</definedName>
    <definedName name="Краснодар_ячм_неопл">[4]Лист1!$L$140</definedName>
    <definedName name="Краснодар_ячм_своб">[4]Лист1!$I$140</definedName>
    <definedName name="Краснодар_ячмень">[4]Лист1!$K$140</definedName>
    <definedName name="КРАСНОЯРСК" hidden="1">{"'РП (2)'!$A$5:$S$150"}</definedName>
    <definedName name="красныйц" hidden="1">{#N/A,#N/A,TRUE,"Буржуям"}</definedName>
    <definedName name="кред_02">[4]MACRO!#REF!</definedName>
    <definedName name="Кред_зад_Большевик">'[4]#ССЫЛКА'!$D$42</definedName>
    <definedName name="Кред_зад_Володар">'[4]#ССЫЛКА'!$D$38</definedName>
    <definedName name="Кред_зад_Казань">'[4]#ССЫЛКА'!$D$40</definedName>
    <definedName name="Кред_зад_Н_Челны">'[4]#ССЫЛКА'!$D$39</definedName>
    <definedName name="Кред_зад_переработка">'[4]#ССЫЛКА'!$D$44</definedName>
    <definedName name="Кред_зад_РЗ_кд">'[4]#ССЫЛКА'!$D$20</definedName>
    <definedName name="Кред_зад_Серпухов">'[4]#ССЫЛКА'!$D$41</definedName>
    <definedName name="Кред_зад_Шексна">'[4]#ССЫЛКА'!$D$37</definedName>
    <definedName name="кред_к">[4]MACRO!#REF!</definedName>
    <definedName name="кред_логистиков">[4]Лист1!$F$56</definedName>
    <definedName name="Кред_РЦ">[4]Лист1!$F$14</definedName>
    <definedName name="кред_т">[4]MACRO!$F$24</definedName>
    <definedName name="Кред_тов">'[4]#ССЫЛКА'!$D$32</definedName>
    <definedName name="Кред_ф">[4]MACRO!$F$78</definedName>
    <definedName name="кред03">[4]MACRO!$F$132</definedName>
    <definedName name="Кредит">#REF!</definedName>
    <definedName name="Кредит_в_Балтонэксиме">'[143]Оплата по графикам'!$B$137</definedName>
    <definedName name="КредитГраждБ">[144]Параметры!$B$24</definedName>
    <definedName name="КредитПетр">[145]Параметры!$B$24</definedName>
    <definedName name="кредОАО">[4]Лист1!$F$142</definedName>
    <definedName name="кренуеуе">[0]!кренуеуе</definedName>
    <definedName name="крепления">#REF!</definedName>
    <definedName name="Кривец">'[4]Хран сах '!#REF!</definedName>
    <definedName name="_xlnm.Criteria">#REF!</definedName>
    <definedName name="Критерии2">#REF!</definedName>
    <definedName name="кркернуену">[0]!кркернуену</definedName>
    <definedName name="кркр">[0]!кркр</definedName>
    <definedName name="крнегукен">[0]!крнегукен</definedName>
    <definedName name="крненр">[0]!крненр</definedName>
    <definedName name="крнкенкенк">[0]!крнкенкенк</definedName>
    <definedName name="крнкеогу">[0]!крнкеогу</definedName>
    <definedName name="кро">[0]!кро</definedName>
    <definedName name="КРОВЛЯ">'[56]см. ЦЕНЫ '!#REF!</definedName>
    <definedName name="КРОВЛЯ_МЕТ.ЧЕРЕП">'[56]см. ЦЕНЫ '!$B$170</definedName>
    <definedName name="кроекроенре">[0]!кроекроенре</definedName>
    <definedName name="крооаоп">[0]!крооаоп</definedName>
    <definedName name="крпаеаварв">[0]!крпаеаварв</definedName>
    <definedName name="крс">[4]СКР!$A$4</definedName>
    <definedName name="Крупская">'[4]Balance Sheet'!#REF!</definedName>
    <definedName name="Крупы">'[4]Фин. вложения'!$H$36</definedName>
    <definedName name="крфин">'[4]1.10'!#REF!</definedName>
    <definedName name="крфукпп">[0]!крфукпп</definedName>
    <definedName name="КРЫЛЬЦА">#REF!</definedName>
    <definedName name="крыльцо_1">#REF!</definedName>
    <definedName name="крыльцо_2">#REF!</definedName>
    <definedName name="крыльцо_3">#REF!</definedName>
    <definedName name="крыльцо_4">#REF!</definedName>
    <definedName name="крыльцо_5">#REF!</definedName>
    <definedName name="крыльцо_6">#REF!</definedName>
    <definedName name="крыоен">[0]!крыоен</definedName>
    <definedName name="КРЫША">#REF!</definedName>
    <definedName name="кс" hidden="1">{"glc1",#N/A,FALSE,"GLC";"glc2",#N/A,FALSE,"GLC";"glc3",#N/A,FALSE,"GLC";"glc4",#N/A,FALSE,"GLC";"glc5",#N/A,FALSE,"GLC"}</definedName>
    <definedName name="КС_1" hidden="1">{"glc1",#N/A,FALSE,"GLC";"glc2",#N/A,FALSE,"GLC";"glc3",#N/A,FALSE,"GLC";"glc4",#N/A,FALSE,"GLC";"glc5",#N/A,FALSE,"GLC"}</definedName>
    <definedName name="кс80м">'[146]общие данные'!$J$3</definedName>
    <definedName name="КСС">#REF!</definedName>
    <definedName name="Ктруд">#REF!</definedName>
    <definedName name="ку">#REF!</definedName>
    <definedName name="Кубагро_02">[4]Лист1!#REF!</definedName>
    <definedName name="Кубань_03">[4]Лист1!#REF!</definedName>
    <definedName name="кугг">[0]!кугг</definedName>
    <definedName name="кугеуг">[0]!кугеуг</definedName>
    <definedName name="кугуенк">[0]!кугуенк</definedName>
    <definedName name="кугуену">[0]!кугуену</definedName>
    <definedName name="куеге">[0]!куеге</definedName>
    <definedName name="куегн">[0]!куегн</definedName>
    <definedName name="куекнгн">[0]!куекнгн</definedName>
    <definedName name="куекнуек">[0]!куекнуек</definedName>
    <definedName name="куенукенук">[0]!куенукенук</definedName>
    <definedName name="кук_ставр_своб">[4]Лист1!$I$187</definedName>
    <definedName name="кукгекгек">[0]!кукгекгек</definedName>
    <definedName name="кукген">[0]!кукген</definedName>
    <definedName name="кукеу">[0]!кукеу</definedName>
    <definedName name="кукнггег">[0]!кукнггег</definedName>
    <definedName name="кукнкун">[0]!кукнкун</definedName>
    <definedName name="кукнукн">[0]!кукнукн</definedName>
    <definedName name="кунгенг">[0]!кунгенг</definedName>
    <definedName name="куогенгу">[0]!куогенгу</definedName>
    <definedName name="куогенргеуоео">[0]!куогенргеуоео</definedName>
    <definedName name="куокере">[0]!куокере</definedName>
    <definedName name="купарфыр">[0]!купарфыр</definedName>
    <definedName name="кур">'[4]Баланс-новый'!$G$3</definedName>
    <definedName name="курнана" hidden="1">{"assets",#N/A,FALSE,"historicBS";"liab",#N/A,FALSE,"historicBS";"is",#N/A,FALSE,"historicIS";"ratios",#N/A,FALSE,"ratios"}</definedName>
    <definedName name="курс">31.0834</definedName>
    <definedName name="курс.встр.пр.">'[92]Гр+'!#REF!</definedName>
    <definedName name="курс.гак.">'[92]Гр+'!#REF!</definedName>
    <definedName name="курс.сер1оч.">'[92]Гр+'!#REF!</definedName>
    <definedName name="Курс_долл">'[147]Исх дан'!$B$2</definedName>
    <definedName name="Курс_доллара">[148]Исход.инф.!$B$4</definedName>
    <definedName name="курс_на_01.11">[4]Лист1!#REF!</definedName>
    <definedName name="курс_на_вчера">[4]Лист1!#REF!</definedName>
    <definedName name="курс06">#REF!</definedName>
    <definedName name="курс1">[4]СКР!$B$4</definedName>
    <definedName name="курс25">'[92]Гр+'!#REF!</definedName>
    <definedName name="курсбайк">'[92]Гр+'!#REF!</definedName>
    <definedName name="курсбог">'[92]Гр+'!#REF!</definedName>
    <definedName name="курсгр">'[92]Гр+'!#REF!</definedName>
    <definedName name="курсдолг.">'[92]Гр+'!#REF!</definedName>
    <definedName name="Курсдолл">'[147]Исх дан'!#REF!</definedName>
    <definedName name="курсил">'[92]Гр+'!#REF!</definedName>
    <definedName name="Курск_пш_4">[4]Лист1!$K$51</definedName>
    <definedName name="Курск_пш_4_неопл">[4]Лист1!$L$51</definedName>
    <definedName name="Курск_пш_4_своб">[4]Лист1!$I$51</definedName>
    <definedName name="Курск_пш_5">[4]Лист1!$K$96</definedName>
    <definedName name="Курск_пш_5_своб">[4]Лист1!$I$96</definedName>
    <definedName name="Курск_пш_ф_неопл">[4]Лист1!$L$96</definedName>
    <definedName name="Курск_ячм_неопл">[4]Лист1!$L$116</definedName>
    <definedName name="Курск_ячм_непл">[4]Лист1!$L$116</definedName>
    <definedName name="Курск_ячм_своб">[4]Лист1!$I$116</definedName>
    <definedName name="Курск_ячмень">[4]Лист1!$K$116</definedName>
    <definedName name="курск25с">'[92]Гр+'!#REF!</definedName>
    <definedName name="курск26">'[92]Гр+'!#REF!</definedName>
    <definedName name="курск26с">'[92]Гр+'!#REF!</definedName>
    <definedName name="курск4">'[85]Сводная ЛССМУ'!#REF!</definedName>
    <definedName name="курск5">'[92]Гр+'!#REF!</definedName>
    <definedName name="курсланск">'[92]Гр+'!#REF!</definedName>
    <definedName name="курсланск.с.">'[92]Гр+'!#REF!</definedName>
    <definedName name="курсн.г.">'[92]Гр+'!#REF!</definedName>
    <definedName name="КурсПериода">#REF!</definedName>
    <definedName name="курспрв">'[92]Гр+'!#REF!</definedName>
    <definedName name="КурсР1">[4]Лист1!#REF!</definedName>
    <definedName name="курссер.21.">'[92]Гр+'!#REF!</definedName>
    <definedName name="курссер.2оч.">'[92]Гр+'!#REF!</definedName>
    <definedName name="курст3">'[92]Гр+'!#REF!</definedName>
    <definedName name="курстс">'[92]Гр+'!#REF!</definedName>
    <definedName name="курсф1">'[92]Гр+'!#REF!</definedName>
    <definedName name="курсф1с">'[92]Гр+'!#REF!</definedName>
    <definedName name="курсф2">'[92]Гр+'!#REF!</definedName>
    <definedName name="курсф2с">'[92]Гр+'!#REF!</definedName>
    <definedName name="курсф3А">'[92]Гр+'!#REF!</definedName>
    <definedName name="курсф3Ас">'[92]Гр+'!#REF!</definedName>
    <definedName name="курсф4">'[85]Сводная ЛССМУ'!#REF!</definedName>
    <definedName name="курсф4с">'[85]Сводная ЛССМУ'!#REF!</definedName>
    <definedName name="курсф5">'[85]Сводная ЛССМУ'!#REF!</definedName>
    <definedName name="курсфок">'[92]Гр+'!#REF!</definedName>
    <definedName name="курсЦБ">#REF!</definedName>
    <definedName name="курсш.о.">'[92]Гр+'!#REF!</definedName>
    <definedName name="курсы">OFFSET([105]КУРС!$A$1,0,0, COUNTA([105]КУРС!$A$1:$A$3000),3)</definedName>
    <definedName name="курсэнг1">'[92]Гр+'!#REF!</definedName>
    <definedName name="куфурр">[0]!куфурр</definedName>
    <definedName name="куцкне">[0]!куцкне</definedName>
    <definedName name="куынцкен">[0]!куынцкен</definedName>
    <definedName name="КФВ">[4]Лист1!$F$37</definedName>
    <definedName name="кфпыв">[0]!кфпыв</definedName>
    <definedName name="КШ">[4]Поступления!#REF!</definedName>
    <definedName name="Кш_02">[4]Лист1!#REF!</definedName>
    <definedName name="Кш_03">[4]Лист1!#REF!</definedName>
    <definedName name="Кш_зона_02">[4]Лист1!#REF!</definedName>
    <definedName name="кш67нш">[0]!кш67нш</definedName>
    <definedName name="КША">'[4]Хран сах '!#REF!</definedName>
    <definedName name="КША_Н">'[4]Хран сах '!#REF!</definedName>
    <definedName name="Кшень_агро">'[4]Хран сах '!#REF!</definedName>
    <definedName name="Кшеньагр_03">[4]Лист1!#REF!</definedName>
    <definedName name="Кшешьагро_02">[4]Лист1!#REF!</definedName>
    <definedName name="КШН">'[4]Хран сах '!#REF!</definedName>
    <definedName name="кшнгонг">[0]!кшнгонг</definedName>
    <definedName name="кывркорве">[0]!кывркорве</definedName>
    <definedName name="кыгкег">[0]!кыгкег</definedName>
    <definedName name="кыуренр">[0]!кыуренр</definedName>
    <definedName name="кыфпма">#REF!</definedName>
    <definedName name="КЭШ" hidden="1">{#N/A,#N/A,FALSE,"Расчет вспомогательных"}</definedName>
    <definedName name="Л">#REF!</definedName>
    <definedName name="Л_02">[4]Лист1!#REF!</definedName>
    <definedName name="Л_агр">'[4]Хран сах '!#REF!</definedName>
    <definedName name="Л_зона_02">[4]Лист1!#REF!</definedName>
    <definedName name="ла" hidden="1">{#N/A,#N/A,TRUE,"Буржуям"}</definedName>
    <definedName name="лампы">#REF!</definedName>
    <definedName name="ланск.руб.">'[92]Гр+'!#REF!</definedName>
    <definedName name="ланск.с.руб.">'[92]Гр+'!#REF!</definedName>
    <definedName name="ланск.с.у.е.">'[92]Гр+'!#REF!</definedName>
    <definedName name="ланск.у.е.">'[92]Гр+'!#REF!</definedName>
    <definedName name="лао" hidden="1">{#N/A,#N/A,FALSE,"Virgin Flightdeck"}</definedName>
    <definedName name="лгп">#REF!</definedName>
    <definedName name="лгрнл">#REF!</definedName>
    <definedName name="лдгпа">#REF!</definedName>
    <definedName name="лдоп" hidden="1">{#N/A,#N/A,TRUE,"Буржуям"}</definedName>
    <definedName name="лдор" hidden="1">{"glc1",#N/A,FALSE,"GLC";"glc2",#N/A,FALSE,"GLC";"glc3",#N/A,FALSE,"GLC";"glc4",#N/A,FALSE,"GLC";"glc5",#N/A,FALSE,"GLC"}</definedName>
    <definedName name="ЛЕКСАН">'[56]см. ЦЕНЫ '!$B$288</definedName>
    <definedName name="лена">[4]Лист1!$A$191</definedName>
    <definedName name="лео_10">[4]Лист1!$J$70</definedName>
    <definedName name="лео_11">[4]Лист1!$I$70</definedName>
    <definedName name="лео_12">[4]Лист1!$J$70</definedName>
    <definedName name="лео_3">[4]Лист1!$I$65</definedName>
    <definedName name="лео_4">[4]Лист1!$J$65</definedName>
    <definedName name="лео_9">[4]Лист1!$I$70</definedName>
    <definedName name="лео1">[4]Лист1!$I$18</definedName>
    <definedName name="лео10">[4]Лист1!$J$219</definedName>
    <definedName name="лео13">[4]Лист1!$I$202</definedName>
    <definedName name="лео14">[4]Лист1!$J$202</definedName>
    <definedName name="лео15">[4]Лист1!$I$207</definedName>
    <definedName name="лео16">[4]Лист1!$J$207</definedName>
    <definedName name="лео17">[4]Лист1!$I$217</definedName>
    <definedName name="лео18">[4]Лист1!$J$217</definedName>
    <definedName name="лео19">[4]Лист1!$K$217</definedName>
    <definedName name="лео2">[4]Лист1!$J$18</definedName>
    <definedName name="лео20">[4]Лист1!$L$217</definedName>
    <definedName name="лео21">[4]Лист1!$I$212</definedName>
    <definedName name="лео22">[4]Лист1!$J$212</definedName>
    <definedName name="лео3">[4]Лист1!$I$70</definedName>
    <definedName name="лео4">[4]Лист1!$J$70</definedName>
    <definedName name="лео5">[4]Лист1!$I$55</definedName>
    <definedName name="лео6">[4]Лист1!$J$55</definedName>
    <definedName name="лео7">[4]Лист1!$I$112</definedName>
    <definedName name="лео8">[4]Лист1!$J$112</definedName>
    <definedName name="лео9">[4]Лист1!$I$219</definedName>
    <definedName name="леса">#REF!</definedName>
    <definedName name="ЛЕСТНИЦА">#REF!</definedName>
    <definedName name="лестницы">'[149]1 -фундам Н.4'!#REF!</definedName>
    <definedName name="лждл">[4]Лист1!$N$3</definedName>
    <definedName name="лизинг">[4]MACRO!$F$25</definedName>
    <definedName name="Лизинг_миксеров">'[143]Оплата по графикам'!$B$108</definedName>
    <definedName name="Лизинг_телеком">'[143]Оплата по графикам'!$B$184</definedName>
    <definedName name="Ликвид1">#REF!</definedName>
    <definedName name="Лист1" hidden="1">{"COM",#N/A,FALSE,"800 10th"}</definedName>
    <definedName name="Лист2" hidden="1">{"Output-3Column",#N/A,FALSE,"Output"}</definedName>
    <definedName name="лист6">[0]!Weekday_count*[0]!Standard_Daily_Hours</definedName>
    <definedName name="лифт">#REF!</definedName>
    <definedName name="лкон" hidden="1">{"'Prices'!$A$4:$J$27"}</definedName>
    <definedName name="лл" hidden="1">{#VALUE!,#N/A,TRUE,0}</definedName>
    <definedName name="ллл" hidden="1">{#N/A,#N/A,FALSE,"p1";#N/A,#N/A,FALSE,"Indicators 2001";#N/A,#N/A,FALSE,"p3";#N/A,#N/A,FALSE,"Indicators 2000";#N/A,#N/A,FALSE,"p5";#N/A,#N/A,FALSE,"COY TOTAL";#N/A,#N/A,FALSE,"p12";#N/A,#N/A,FALSE,"p13";#N/A,#N/A,FALSE,"p14";#N/A,#N/A,FALSE,"Abridged 2001";#N/A,#N/A,FALSE,"Abridged NEPD";#N/A,#N/A,FALSE,"Abridged 4TH AND 5TH";#N/A,#N/A,FALSE,"Abridged FIN TEAM";#N/A,#N/A,FALSE,"Abridged HO";#N/A,#N/A,FALSE,"Abridged PD";#N/A,#N/A,FALSE,"p23";#N/A,#N/A,FALSE,"p24";#N/A,#N/A,FALSE,"Profit &amp;loss";#N/A,#N/A,FALSE,"Sal analysis";#N/A,#N/A,FALSE,"P&amp;L Per Sales";#N/A,#N/A,FALSE,"sensitivities";#N/A,#N/A,FALSE,"p33";#N/A,#N/A,FALSE," Cashflow";#N/A,#N/A,FALSE,"Sheet2";#N/A,#N/A,FALSE,"p34";#N/A,#N/A,FALSE,"Bal sh";#N/A,#N/A,FALSE,"Loans"}</definedName>
    <definedName name="лллл" hidden="1">{#VALUE!,#N/A,TRUE,0}</definedName>
    <definedName name="ллллл" hidden="1">#REF!</definedName>
    <definedName name="лншлдгшдщ">[0]!лншлдгшдщ</definedName>
    <definedName name="ло" hidden="1">{"glc1",#N/A,FALSE,"GLC";"glc2",#N/A,FALSE,"GLC";"glc3",#N/A,FALSE,"GLC";"glc4",#N/A,FALSE,"GLC";"glc5",#N/A,FALSE,"GLC"}</definedName>
    <definedName name="лоир">#REF!</definedName>
    <definedName name="локо" hidden="1">{"assets",#N/A,FALSE,"historicBS";"liab",#N/A,FALSE,"historicBS";"is",#N/A,FALSE,"historicIS";"ratios",#N/A,FALSE,"ratios"}</definedName>
    <definedName name="лококо" hidden="1">{"glcbs",#N/A,FALSE,"GLCBS";"glccsbs",#N/A,FALSE,"GLCCSBS";"glcis",#N/A,FALSE,"GLCIS";"glccsis",#N/A,FALSE,"GLCCSIS";"glcrat1",#N/A,FALSE,"GLC-ratios1"}</definedName>
    <definedName name="лоло">[150]восст!$B$1:$J$65536</definedName>
    <definedName name="лолол" hidden="1">{"glc1",#N/A,FALSE,"GLC";"glc2",#N/A,FALSE,"GLC";"glc3",#N/A,FALSE,"GLC";"glc4",#N/A,FALSE,"GLC";"glc5",#N/A,FALSE,"GLC"}</definedName>
    <definedName name="лолололо">[151]Описание!$C$3:$AW$32</definedName>
    <definedName name="лоп">#REF!</definedName>
    <definedName name="лопа" hidden="1">{#N/A,#N/A,FALSE,"Расчет вспомогательных"}</definedName>
    <definedName name="ЛОПОРП" hidden="1">{#VALUE!,#N/A,TRUE,0}</definedName>
    <definedName name="лор">#REF!</definedName>
    <definedName name="лорпа" hidden="1">{"glc1",#N/A,FALSE,"GLC";"glc2",#N/A,FALSE,"GLC";"glc3",#N/A,FALSE,"GLC";"glc4",#N/A,FALSE,"GLC";"glc5",#N/A,FALSE,"GLC"}</definedName>
    <definedName name="лорпк" hidden="1">{"glc1",#N/A,FALSE,"GLC";"glc2",#N/A,FALSE,"GLC";"glc3",#N/A,FALSE,"GLC";"glc4",#N/A,FALSE,"GLC";"glc5",#N/A,FALSE,"GLC"}</definedName>
    <definedName name="лортдл" hidden="1">{#N/A,#N/A,FALSE,"Aging Summary";#N/A,#N/A,FALSE,"Ratio Analysis";#N/A,#N/A,FALSE,"Test 120 Day Accts";#N/A,#N/A,FALSE,"Tickmarks"}</definedName>
    <definedName name="лофывап" hidden="1">{#N/A,#N/A,FALSE,"Aging Summary";#N/A,#N/A,FALSE,"Ratio Analysis";#N/A,#N/A,FALSE,"Test 120 Day Accts";#N/A,#N/A,FALSE,"Tickmarks"}</definedName>
    <definedName name="Лп">[4]Поступления!#REF!</definedName>
    <definedName name="лплгпа">#REF!</definedName>
    <definedName name="лповрывп" hidden="1">{"glc1",#N/A,FALSE,"GLC";"glc2",#N/A,FALSE,"GLC";"glc3",#N/A,FALSE,"GLC";"glc4",#N/A,FALSE,"GLC";"glc5",#N/A,FALSE,"GLC"}</definedName>
    <definedName name="лпрап" hidden="1">{"'Sheet1'!$A$1:$G$85"}</definedName>
    <definedName name="лрапрлпр">[0]!лрапрлпр</definedName>
    <definedName name="лрпро" hidden="1">{"'Sheet1'!$A$1:$G$85"}</definedName>
    <definedName name="лс">'[118]исходные данные'!$I$14</definedName>
    <definedName name="Лсв_02">[4]Лист1!#REF!</definedName>
    <definedName name="ЛССМУ">'[112]каскад,5'!#REF!</definedName>
    <definedName name="лфлфлфлфф" hidden="1">{"glc1",#N/A,FALSE,"GLC";"glc2",#N/A,FALSE,"GLC";"glc3",#N/A,FALSE,"GLC";"glc4",#N/A,FALSE,"GLC";"glc5",#N/A,FALSE,"GLC"}</definedName>
    <definedName name="лшенпо">[0]!лшенпо</definedName>
    <definedName name="Льг_03">[4]Лист1!#REF!</definedName>
    <definedName name="Льгов_агро_02">[4]Лист1!#REF!</definedName>
    <definedName name="Льговагр_03">[4]Лист1!#REF!</definedName>
    <definedName name="ЛЮБЕЛЯ">'[42]матер.(октябрь)'!#REF!</definedName>
    <definedName name="Люда">[134]Трансформаторн!$F$8</definedName>
    <definedName name="Люзя" hidden="1">{#N/A,#N/A,TRUE,"Буржуям"}</definedName>
    <definedName name="ля">[152]Износ!$A$3:$T$92</definedName>
    <definedName name="Лямбда">#N/A</definedName>
    <definedName name="м">[153]Исход.инф.!$C$8</definedName>
    <definedName name="М.ПРОКАТ">'[56]см. ЦЕНЫ '!#REF!</definedName>
    <definedName name="М_КАРКАСЫ">'[56]см. ЦЕНЫ '!$B$24</definedName>
    <definedName name="М2.01.08" hidden="1">{#N/A,#N/A,TRUE,"Буржуям"}</definedName>
    <definedName name="ма" hidden="1">{"assets",#N/A,FALSE,"historicBS";"liab",#N/A,FALSE,"historicBS";"is",#N/A,FALSE,"historicIS";"ratios",#N/A,FALSE,"ratios"}</definedName>
    <definedName name="Мазут__100">#REF!</definedName>
    <definedName name="май">[4]титул!#REF!</definedName>
    <definedName name="май03гр">#REF!</definedName>
    <definedName name="май03руб.">#REF!</definedName>
    <definedName name="май03у.е.">#REF!</definedName>
    <definedName name="май04гр">#REF!</definedName>
    <definedName name="май04руб.">#REF!</definedName>
    <definedName name="май04у.е.">#REF!</definedName>
    <definedName name="май5" hidden="1">{#N/A,#N/A,TRUE,"Буржуям"}</definedName>
    <definedName name="МАНСАРДА">#REF!</definedName>
    <definedName name="мапор" hidden="1">{"'Sheet1'!$A$1:$G$85"}</definedName>
    <definedName name="мар">[4]титул!#REF!</definedName>
    <definedName name="мар03гр">#REF!</definedName>
    <definedName name="мар03руб.">#REF!</definedName>
    <definedName name="мар03у.е.">#REF!</definedName>
    <definedName name="Марк">'[4]Balance Sheet'!#REF!</definedName>
    <definedName name="март" hidden="1">{#N/A,#N/A,TRUE,"Буржуям"}</definedName>
    <definedName name="март04гр">#REF!</definedName>
    <definedName name="март04руб.">#REF!</definedName>
    <definedName name="март04у.е.">#REF!</definedName>
    <definedName name="март2" hidden="1">{#N/A,#N/A,TRUE,"Буржуям"}</definedName>
    <definedName name="март3" hidden="1">{#N/A,#N/A,TRUE,"Буржуям"}</definedName>
    <definedName name="март5" hidden="1">{#N/A,#N/A,TRUE,"Буржуям"}</definedName>
    <definedName name="мас_раст">[4]Лист1!$E$55</definedName>
    <definedName name="мас_раст_дол">[4]Лист1!$H$55</definedName>
    <definedName name="мас_раст_руб">[4]Лист1!$G$55</definedName>
    <definedName name="мас2ПО">[4]Лист1!$F$141</definedName>
    <definedName name="мас2ПОТ">[4]Лист1!$H$141</definedName>
    <definedName name="мас2Ф">[4]Лист1!$G$141</definedName>
    <definedName name="мас2фТ">[4]Лист1!$I$141</definedName>
    <definedName name="масло">[4]Лист1!$L$89</definedName>
    <definedName name="масло_госрез_ав">[4]Лист1!#REF!</definedName>
    <definedName name="масло_госрез_ав_дол">[4]Лист1!#REF!</definedName>
    <definedName name="масло_госрез_ав_руб">[4]Лист1!#REF!</definedName>
    <definedName name="масло_госрез_факт">[4]Лист1!#REF!</definedName>
    <definedName name="масло_госрез_факт_дол">[4]Лист1!#REF!</definedName>
    <definedName name="масло_госрез_факт_руб">[4]Лист1!#REF!</definedName>
    <definedName name="масло_ДС_факт">[4]Лист1!$G$138</definedName>
    <definedName name="Масло_Евд_неопл">[4]Лист1!$L$157</definedName>
    <definedName name="Масло_Евд_своб">[4]Лист1!$I$157</definedName>
    <definedName name="Масло_Евдаково">[4]Лист1!$K$157</definedName>
    <definedName name="масло_нидера_ав">[4]Лист1!#REF!</definedName>
    <definedName name="масло_нидера_ав_дол">[4]Лист1!#REF!</definedName>
    <definedName name="масло_нидера_ав_руб">[4]Лист1!#REF!</definedName>
    <definedName name="масло_нидера_факт">[4]Лист1!#REF!</definedName>
    <definedName name="масло_нидера_факт_дол">[4]Лист1!#REF!</definedName>
    <definedName name="масло_нидера_факт_руб">[4]Лист1!#REF!</definedName>
    <definedName name="масло_отг">[4]Лист1!$F$193</definedName>
    <definedName name="масло1_ДС_по">[4]Лист1!$F$138</definedName>
    <definedName name="масло1_руб_по">[4]Лист1!$I$56</definedName>
    <definedName name="масло1_руб_факт">[4]Лист1!$J$56</definedName>
    <definedName name="масло1_тонн_по">[4]Лист1!$F$56</definedName>
    <definedName name="масло1_тонн_факт">[4]Лист1!$G$56</definedName>
    <definedName name="маслоДСПО">[4]Лист1!$M$56</definedName>
    <definedName name="маслоДСфакт">[4]Лист1!$N$56</definedName>
    <definedName name="Масштаб">#REF!</definedName>
    <definedName name="мат">[4]Поступления!$L$111</definedName>
    <definedName name="матер_БАНК">#REF!</definedName>
    <definedName name="матер_ЖД">#REF!</definedName>
    <definedName name="матер_НЕЖИЛ">#REF!</definedName>
    <definedName name="материалы">#REF!</definedName>
    <definedName name="межкомнатные">#REF!</definedName>
    <definedName name="мел_сс">[4]Отгрузка!$E$17</definedName>
    <definedName name="Менеджеры">'[133]Параметры ФОТ'!$B$14:$B$20</definedName>
    <definedName name="Меню">#REF!</definedName>
    <definedName name="мес" hidden="1">{#N/A,#N/A,TRUE,"Буржуям"}</definedName>
    <definedName name="месяц">#REF!</definedName>
    <definedName name="месяц5" hidden="1">{#N/A,#N/A,TRUE,"Буржуям"}</definedName>
    <definedName name="МЕТ_ИЗДЕЛИЯ">#REF!</definedName>
    <definedName name="МЕТ_ПРОКАТ">#REF!</definedName>
    <definedName name="МЕТАЛЛ">'[56]см. ЦЕНЫ '!$B$79</definedName>
    <definedName name="металлорукав">#REF!</definedName>
    <definedName name="метро">#REF!</definedName>
    <definedName name="МЕХАНИЗМЫ">#REF!</definedName>
    <definedName name="ми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мит" hidden="1">{"assets",#N/A,FALSE,"historicBS";"liab",#N/A,FALSE,"historicBS";"is",#N/A,FALSE,"historicIS";"ratios",#N/A,FALSE,"ratios"}</definedName>
    <definedName name="млеко">[4]Лист1!$I$89</definedName>
    <definedName name="МЛН">1000000</definedName>
    <definedName name="мммм" hidden="1">{#N/A,#N/A,TRUE,"Буржуям"}</definedName>
    <definedName name="молоко">[4]Лист1!$O$89</definedName>
    <definedName name="Молоко_сс">[4]Лист1!$AH$90</definedName>
    <definedName name="моро">[154]НФИк!$A$17</definedName>
    <definedName name="моро1">[124]НФИк!$A$17</definedName>
    <definedName name="мост" hidden="1">{#N/A,#N/A,TRUE,"Буржуям"}</definedName>
    <definedName name="мпьи">[0]!мпьи</definedName>
    <definedName name="мтмь">[0]!мтмь</definedName>
    <definedName name="мтпмь">[0]!мтпмь</definedName>
    <definedName name="мук">'[4]Фин. вложения'!$F$36</definedName>
    <definedName name="мука">[4]Лист1!$Q$89</definedName>
    <definedName name="мусоропровод">#REF!</definedName>
    <definedName name="МУФТА">'[42]матер.(октябрь)'!#REF!</definedName>
    <definedName name="мча" hidden="1">#REF!</definedName>
    <definedName name="мым" hidden="1">#REF!</definedName>
    <definedName name="мьось">[0]!мьось</definedName>
    <definedName name="мьпь">[0]!мьпь</definedName>
    <definedName name="мьсьби">[0]!мьсьби</definedName>
    <definedName name="н">[0]!н</definedName>
    <definedName name="н.г.руб.">'[92]Гр+'!#REF!</definedName>
    <definedName name="н.г.у.е.">'[92]Гр+'!#REF!</definedName>
    <definedName name="н.форма" hidden="1">{#N/A,#N/A,TRUE,"Буржуям"}</definedName>
    <definedName name="Н_дорож">#REF!</definedName>
    <definedName name="н76е7у5">[0]!н76е7у5</definedName>
    <definedName name="Н8">[155]Трансформаторн!$F$8</definedName>
    <definedName name="наененнен">[0]!наененнен</definedName>
    <definedName name="наеншелн">[0]!наеншелн</definedName>
    <definedName name="Название1">[2]Исход.инф.!$A$7</definedName>
    <definedName name="Название2">[2]Исход.инф.!$A$8</definedName>
    <definedName name="Название3">[2]Исход.инф.!$A$9</definedName>
    <definedName name="Название4">[2]Исход.инф.!$A$10</definedName>
    <definedName name="Назначение">[156]Исходник!$U$4:$U$17</definedName>
    <definedName name="Наименование">#REF!</definedName>
    <definedName name="нак" hidden="1">{"'Sheet1'!$A$1:$G$85"}</definedName>
    <definedName name="наконечники">#REF!</definedName>
    <definedName name="нал">[51]П!#REF!</definedName>
    <definedName name="Нал1">[4]Лист1!#REF!</definedName>
    <definedName name="НалИмущ">[157]Параметры!#REF!</definedName>
    <definedName name="НалНДС">#REF!</definedName>
    <definedName name="Налог_на_прибыль">[51]П!$A$19:$IV$19,[51]П!$A$12</definedName>
    <definedName name="налоги1" hidden="1">{#N/A,#N/A,TRUE,"Буржуям"}</definedName>
    <definedName name="налоги3" hidden="1">{#N/A,#N/A,TRUE,"Буржуям"}</definedName>
    <definedName name="НалОфКонв">[99]Параметры!#REF!</definedName>
    <definedName name="НалПриб">#REF!</definedName>
    <definedName name="НалПрибОкт">[158]Параметры!$B$16</definedName>
    <definedName name="НалРекл">[157]Параметры!#REF!</definedName>
    <definedName name="НалФинОф">[99]Параметры!#REF!</definedName>
    <definedName name="наннгдщгшщг">[0]!наннгдщгшщг</definedName>
    <definedName name="НАСис">[4]Хотмыжск!#REF!</definedName>
    <definedName name="наш" hidden="1">{#N/A,#N/A,TRUE,"Буржуям"}</definedName>
    <definedName name="НВ">[51]!GetSANDValue</definedName>
    <definedName name="нвеовел">[0]!нвеовел</definedName>
    <definedName name="нвощщзимыф" hidden="1">{"glc1",#N/A,FALSE,"GLC";"glc2",#N/A,FALSE,"GLC";"glc3",#N/A,FALSE,"GLC";"glc4",#N/A,FALSE,"GLC";"glc5",#N/A,FALSE,"GLC"}</definedName>
    <definedName name="нг" hidden="1">{"assets",#N/A,FALSE,"historicBS";"liab",#N/A,FALSE,"historicBS";"is",#N/A,FALSE,"historicIS";"ratios",#N/A,FALSE,"ratios"}</definedName>
    <definedName name="нгангплш">[0]!нгангплш</definedName>
    <definedName name="нгеге">[0]!нгеге</definedName>
    <definedName name="нгегенг">[0]!нгегенг</definedName>
    <definedName name="нгегшщгшще">[0]!нгегшщгшще</definedName>
    <definedName name="нгекнк">[0]!нгекнк</definedName>
    <definedName name="нгекногкн">[0]!нгекногкн</definedName>
    <definedName name="нгекщнгк">[0]!нгекщнгк</definedName>
    <definedName name="нген">[0]!нген</definedName>
    <definedName name="нгенгегег">[0]!нгенгегег</definedName>
    <definedName name="нгенгк">[0]!нгенгк</definedName>
    <definedName name="нгенгшегшег">[0]!нгенгшегшег</definedName>
    <definedName name="нгенгшн">[0]!нгенгшн</definedName>
    <definedName name="нгеноген">[0]!нгеноген</definedName>
    <definedName name="нгеншее">[0]!нгеншее</definedName>
    <definedName name="нгеншщнгш">[0]!нгеншщнгш</definedName>
    <definedName name="нгешуе6ну">[0]!нгешуе6ну</definedName>
    <definedName name="нгкг" hidden="1">{#N/A,#N/A,FALSE,"Расчет вспомогательных"}</definedName>
    <definedName name="нгкенгкен">[0]!нгкенгкен</definedName>
    <definedName name="нгкенк">[0]!нгкенк</definedName>
    <definedName name="нгкнг">[0]!нгкнг</definedName>
    <definedName name="нгкнгшщнг">[0]!нгкнгшщнг</definedName>
    <definedName name="нгкне">[0]!нгкне</definedName>
    <definedName name="нгкнщененен">[0]!нгкнщененен</definedName>
    <definedName name="нглонон">[0]!нглонон</definedName>
    <definedName name="нглшангпгш">[0]!нглшангпгш</definedName>
    <definedName name="нглшнлшгшщпгплш">[0]!нглшнлшгшщпгплш</definedName>
    <definedName name="нглшпегшдгн">[0]!нглшпегшдгн</definedName>
    <definedName name="нгнгршщг">[0]!нгнгршщг</definedName>
    <definedName name="нгнгше">[0]!нгнгше</definedName>
    <definedName name="нгнкг">[0]!нгнкг</definedName>
    <definedName name="нгншн">[0]!нгншн</definedName>
    <definedName name="нгпгл">[0]!нгпгл</definedName>
    <definedName name="нгуего">[0]!нгуего</definedName>
    <definedName name="нгуенге">[0]!нгуенге</definedName>
    <definedName name="нгуенгу">[0]!нгуенгу</definedName>
    <definedName name="нгуенгуекну">[0]!нгуенгуекну</definedName>
    <definedName name="нгуену">[0]!нгуену</definedName>
    <definedName name="нгуенуш">[0]!нгуенуш</definedName>
    <definedName name="нгукегн">[0]!нгукегн</definedName>
    <definedName name="нгшангшанш">[0]!нгшангшанш</definedName>
    <definedName name="нгшгпшпн">[0]!нгшгпшпн</definedName>
    <definedName name="нгшгше7">[0]!нгшгше7</definedName>
    <definedName name="нгшгшщнг">[0]!нгшгшщнг</definedName>
    <definedName name="нгше">[0]!нгше</definedName>
    <definedName name="нгшег">[0]!нгшег</definedName>
    <definedName name="нгшенгшще">[0]!нгшенгшще</definedName>
    <definedName name="нгшеншщ">[0]!нгшеншщ</definedName>
    <definedName name="нгшеншще">[0]!нгшеншще</definedName>
    <definedName name="нгшенщ">[0]!нгшенщ</definedName>
    <definedName name="нгшенщнгш">[0]!нгшенщнгш</definedName>
    <definedName name="нгшенщнгще78щп">[0]!нгшенщнгще78щп</definedName>
    <definedName name="нгшешнг">[0]!нгшешнг</definedName>
    <definedName name="нгшкне">[0]!нгшкне</definedName>
    <definedName name="нгшкнег">[0]!нгшкнег</definedName>
    <definedName name="нгшлшгш">[0]!нгшлшгш</definedName>
    <definedName name="нгшнгаен">[0]!нгшнгаен</definedName>
    <definedName name="нгшнгкн">[0]!нгшнгкн</definedName>
    <definedName name="нгшненкн">[0]!нгшненкн</definedName>
    <definedName name="нгшнещн">[0]!нгшнещн</definedName>
    <definedName name="нгшнше">[0]!нгшнше</definedName>
    <definedName name="нгшнще">[0]!нгшнще</definedName>
    <definedName name="нгщлпедщрд">[0]!нгщлпедщрд</definedName>
    <definedName name="нден_З">[4]СКР!$D$34</definedName>
    <definedName name="нден_часть_д_С">[4]СКР!$H$34</definedName>
    <definedName name="нден_часть_З">[4]СКР!$D$34</definedName>
    <definedName name="НДС">#REF!</definedName>
    <definedName name="НДС1">#REF!</definedName>
    <definedName name="НДС2">[140]Параметры!$B$18</definedName>
    <definedName name="неаешашнаен">[0]!неаешашнаен</definedName>
    <definedName name="негенгееге">[0]!негенгееге</definedName>
    <definedName name="негеншш">[0]!негеншш</definedName>
    <definedName name="негеш">[0]!негеш</definedName>
    <definedName name="неглшнгплшг">[0]!неглшнгплшг</definedName>
    <definedName name="негншкн">[0]!негншкн</definedName>
    <definedName name="негокеошк">[0]!негокеошк</definedName>
    <definedName name="негу">[0]!негу</definedName>
    <definedName name="негшеге">[0]!негшеге</definedName>
    <definedName name="негшлшен">[0]!негшлшен</definedName>
    <definedName name="неееноггег">[0]!неееноггег</definedName>
    <definedName name="нежилыепомещения">#REF!</definedName>
    <definedName name="некггггг">[0]!некггггг</definedName>
    <definedName name="некгк">[0]!некгк</definedName>
    <definedName name="некенгн">[0]!некенгн</definedName>
    <definedName name="некн">[0]!некн</definedName>
    <definedName name="некнук">[0]!некнук</definedName>
    <definedName name="некондиция">[4]Лист1!$AC$89</definedName>
    <definedName name="ненешеа">[0]!ненешеа</definedName>
    <definedName name="ненкенннннннннннннн">[0]!ненкенннннннннннннн</definedName>
    <definedName name="неншее">[0]!неншее</definedName>
    <definedName name="неншншлн">[0]!неншншлн</definedName>
    <definedName name="неогенлшу">[0]!неогенлшу</definedName>
    <definedName name="неогкегоен">[0]!неогкегоен</definedName>
    <definedName name="неогрвено">[0]!неогрвено</definedName>
    <definedName name="неоекн">[0]!неоекн</definedName>
    <definedName name="неоенлк">[0]!неоенлк</definedName>
    <definedName name="неоеое">[0]!неоеое</definedName>
    <definedName name="нераспр_03">[4]Лист1!$F$47</definedName>
    <definedName name="нераспр_04">[4]Лист1!$F$80</definedName>
    <definedName name="неуе">[0]!неуе</definedName>
    <definedName name="нешегег">[0]!нешегег</definedName>
    <definedName name="нешеген">[0]!нешеген</definedName>
    <definedName name="нешенганган">[0]!нешенганган</definedName>
    <definedName name="нешеншен">[0]!нешеншен</definedName>
    <definedName name="нешеншеш">[0]!нешеншеш</definedName>
    <definedName name="нешншнгшн">[0]!нешншнгшн</definedName>
    <definedName name="Ни">#REF!</definedName>
    <definedName name="ниокр" hidden="1">{#N/A,#N/A,TRUE,"Буржуям"}</definedName>
    <definedName name="ниц">#REF!</definedName>
    <definedName name="нкге">[0]!нкге</definedName>
    <definedName name="нкенгкг">[0]!нкенгкг</definedName>
    <definedName name="нкенкн">[0]!нкенкн</definedName>
    <definedName name="нкеношкн">[0]!нкеношкн</definedName>
    <definedName name="нкенук">[0]!нкенук</definedName>
    <definedName name="нкенуке">[0]!нкенуке</definedName>
    <definedName name="нкеункнке">[0]!нкеункнке</definedName>
    <definedName name="нкнгуг">[0]!нкнгуг</definedName>
    <definedName name="нкнгшегш">[0]!нкнгшегш</definedName>
    <definedName name="нкнкн">[0]!нкнкн</definedName>
    <definedName name="нкнук">[0]!нкнук</definedName>
    <definedName name="нкнукну">[0]!нкнукну</definedName>
    <definedName name="нкуненг">[0]!нкуненг</definedName>
    <definedName name="нкунуен">[0]!нкунуен</definedName>
    <definedName name="нн" hidden="1">{#N/A,#N/A,TRUE,"Буржуям"}</definedName>
    <definedName name="ннге">[0]!ннге</definedName>
    <definedName name="ннгнш">[0]!ннгнш</definedName>
    <definedName name="ннгуеген">[0]!ннгуеген</definedName>
    <definedName name="ннн">[159]НФИк!$A$17</definedName>
    <definedName name="ннненен" hidden="1">{"glc1",#N/A,FALSE,"GLC";"glc2",#N/A,FALSE,"GLC";"glc3",#N/A,FALSE,"GLC";"glc4",#N/A,FALSE,"GLC";"glc5",#N/A,FALSE,"GLC"}</definedName>
    <definedName name="нннне" hidden="1">[84]MAIN!#REF!</definedName>
    <definedName name="ннннннн">[0]!ннннннн</definedName>
    <definedName name="нннннннн">[0]!нннннннн</definedName>
    <definedName name="нннннннннн">[0]!нннннннннн</definedName>
    <definedName name="ннннннннннн">[0]!ннннннннннн</definedName>
    <definedName name="нннннннннннннннннн">[0]!нннннннннннннннннн</definedName>
    <definedName name="ноаклан">[0]!ноаклан</definedName>
    <definedName name="новое" hidden="1">{#VALUE!,#N/A,TRUE,0}</definedName>
    <definedName name="Новосиб_пш_3">[4]Лист1!$K$26</definedName>
    <definedName name="Новосиб_пш_3_неопл">[4]Лист1!$L$26</definedName>
    <definedName name="Новосиб_пш_3_своб">[4]Лист1!$I$26</definedName>
    <definedName name="ногвуен">[0]!ногвуен</definedName>
    <definedName name="ноеное">[0]!ноеное</definedName>
    <definedName name="ноео">[0]!ноео</definedName>
    <definedName name="нолнон">[0]!нолнон</definedName>
    <definedName name="ноль">'[4]#ССЫЛКА'!$Q$8</definedName>
    <definedName name="Номер">#REF!</definedName>
    <definedName name="Номер_Н">#REF!</definedName>
    <definedName name="Номинал">#REF!</definedName>
    <definedName name="нонгошнгш">[0]!нонгошнгш</definedName>
    <definedName name="НОП">#REF!</definedName>
    <definedName name="нопевл">[0]!нопевл</definedName>
    <definedName name="норкенг">[0]!норкенг</definedName>
    <definedName name="ноуеноу">[0]!ноуеноу</definedName>
    <definedName name="ношге">[0]!ношге</definedName>
    <definedName name="ноыко">[0]!ноыко</definedName>
    <definedName name="ноя">[4]титул!#REF!</definedName>
    <definedName name="нояб03гр">#REF!</definedName>
    <definedName name="нояб03руб.">#REF!</definedName>
    <definedName name="нояб03у.е.">#REF!</definedName>
    <definedName name="нояб04гр">#REF!</definedName>
    <definedName name="нояб04руб">#REF!</definedName>
    <definedName name="нояб04у.е.">#REF!</definedName>
    <definedName name="ноябрь">[51]П!#REF!</definedName>
    <definedName name="НП">#REF!</definedName>
    <definedName name="нпавыр" hidden="1">#N/A</definedName>
    <definedName name="НПД">#REF!</definedName>
    <definedName name="нпергр">[0]!нпергр</definedName>
    <definedName name="нпк">'[4]Гр фин'!#REF!</definedName>
    <definedName name="нпла">[0]!нпла</definedName>
    <definedName name="нпо">[0]!нпо</definedName>
    <definedName name="нр">#REF!</definedName>
    <definedName name="нравпор" hidden="1">{"glc1",#N/A,FALSE,"GLC";"glc2",#N/A,FALSE,"GLC";"glc3",#N/A,FALSE,"GLC";"glc4",#N/A,FALSE,"GLC";"glc5",#N/A,FALSE,"GLC"}</definedName>
    <definedName name="нрва" hidden="1">{"Output-Min",#N/A,FALSE,"Output"}</definedName>
    <definedName name="нрвек">[0]!нрвек</definedName>
    <definedName name="нрвпые" hidden="1">{"glc1",#N/A,FALSE,"GLC";"glc2",#N/A,FALSE,"GLC";"glc3",#N/A,FALSE,"GLC";"glc4",#N/A,FALSE,"GLC";"glc5",#N/A,FALSE,"GLC"}</definedName>
    <definedName name="нргнлшнглшнг">[0]!нргнлшнглшнг</definedName>
    <definedName name="нрену">[0]!нрену</definedName>
    <definedName name="нрпаквуен" hidden="1">{"glc1",#N/A,FALSE,"GLC";"glc2",#N/A,FALSE,"GLC";"glc3",#N/A,FALSE,"GLC";"glc4",#N/A,FALSE,"GLC";"glc5",#N/A,FALSE,"GLC"}</definedName>
    <definedName name="нрпвеыа" hidden="1">#REF!</definedName>
    <definedName name="нрпвыора" hidden="1">{"glc1",#N/A,FALSE,"GLC";"glc2",#N/A,FALSE,"GLC";"glc3",#N/A,FALSE,"GLC";"glc4",#N/A,FALSE,"GLC";"glc5",#N/A,FALSE,"GLC"}</definedName>
    <definedName name="нрпеакв" hidden="1">{"glc1",#N/A,FALSE,"GLC";"glc2",#N/A,FALSE,"GLC";"glc3",#N/A,FALSE,"GLC";"glc4",#N/A,FALSE,"GLC";"glc5",#N/A,FALSE,"GLC"}</definedName>
    <definedName name="нрпекафд" hidden="1">{"glc1",#N/A,FALSE,"GLC";"glc2",#N/A,FALSE,"GLC";"glc3",#N/A,FALSE,"GLC";"glc4",#N/A,FALSE,"GLC";"glc5",#N/A,FALSE,"GLC"}</definedName>
    <definedName name="нрпфшщц" hidden="1">{"ÜBERSICHT",#N/A,FALSE,"ABW KUM";"Kostenzoom",#N/A,FALSE,"ABW KUM";"ÜBERSICHT",#N/A,FALSE,"ABW HORE";"Kostenzoom",#N/A,FALSE,"ABW HORE"}</definedName>
    <definedName name="ну">[0]!ну</definedName>
    <definedName name="нуг">[0]!нуг</definedName>
    <definedName name="нугенгенген">[0]!нугенгенген</definedName>
    <definedName name="нуену">[0]!нуену</definedName>
    <definedName name="нуенуе">[0]!нуенуе</definedName>
    <definedName name="нуергуо">[0]!нуергуо</definedName>
    <definedName name="нукгеггн">[0]!нукгеггн</definedName>
    <definedName name="нукгуен">[0]!нукгуен</definedName>
    <definedName name="нукеног">[0]!нукеног</definedName>
    <definedName name="нукеуг">[0]!нукеуг</definedName>
    <definedName name="нукнге">[0]!нукнге</definedName>
    <definedName name="нукне">[0]!нукне</definedName>
    <definedName name="нукнекн">[0]!нукнекн</definedName>
    <definedName name="нункекенку">[0]!нункекенку</definedName>
    <definedName name="нуну">[0]!нуну</definedName>
    <definedName name="нур" hidden="1">{#N/A,#N/A,TRUE,"Буржуям"}</definedName>
    <definedName name="нурис" hidden="1">{#N/A,#N/A,TRUE,"Буржуям"}</definedName>
    <definedName name="нурисламова" hidden="1">{#N/A,#N/A,TRUE,"Буржуям"}</definedName>
    <definedName name="нурл_02">[4]Лист1!#REF!</definedName>
    <definedName name="нцкгугн">[0]!нцкгугн</definedName>
    <definedName name="НЧелны_кредитОАО">[4]Лист1!$F$136</definedName>
    <definedName name="ншг">[0]!ншг</definedName>
    <definedName name="ншешнгшегш">[0]!ншешнгшегш</definedName>
    <definedName name="ншкнг">[0]!ншкнг</definedName>
    <definedName name="ншкнггг">[0]!ншкнггг</definedName>
    <definedName name="ншкншкг">[0]!ншкншкг</definedName>
    <definedName name="ншкнще7">[0]!ншкнще7</definedName>
    <definedName name="ншкнщнекн">[0]!ншкнщнекн</definedName>
    <definedName name="ншнгше">[0]!ншнгше</definedName>
    <definedName name="ншнешгн">[0]!ншнешгн</definedName>
    <definedName name="ншншкн">[0]!ншншкн</definedName>
    <definedName name="нщегнга">[0]!нщегнга</definedName>
    <definedName name="о">[4]Лист1!#REF!</definedName>
    <definedName name="о_3к_д">[4]Лист1!$E$226</definedName>
    <definedName name="о_3к_дп">[4]Лист1!$C$226</definedName>
    <definedName name="о_3к_т">[4]Лист1!$B$226</definedName>
    <definedName name="о_3к_тф">[4]Лист1!$D$226</definedName>
    <definedName name="о_3кэ_дп">[4]Лист1!$C$227</definedName>
    <definedName name="о_3кэ_дф">[4]Лист1!$E$227</definedName>
    <definedName name="о_3кэ_т">[4]Лист1!$B$227</definedName>
    <definedName name="о_3кэ_тф">[4]Лист1!$D$227</definedName>
    <definedName name="о_мр_дп">[4]Лист1!$C$228</definedName>
    <definedName name="о_мр_дф">[4]Лист1!$E$228</definedName>
    <definedName name="о_мр_т">[4]Лист1!$B$228</definedName>
    <definedName name="о_мр_тф">[4]Лист1!$D$228</definedName>
    <definedName name="о_под_дп">[4]Лист1!$C$231</definedName>
    <definedName name="о_под_дф">[4]Лист1!$E$231</definedName>
    <definedName name="о_под_т">[4]Лист1!$B$231</definedName>
    <definedName name="о_под_тф">[4]Лист1!$D$231</definedName>
    <definedName name="о_пф_дп">[4]Лист1!$C$224</definedName>
    <definedName name="о_пф_дф">[4]Лист1!$E$224</definedName>
    <definedName name="о_пф_т">[4]Лист1!$B$224</definedName>
    <definedName name="о_пф_тф">[4]Лист1!$D$224</definedName>
    <definedName name="о_яч_дп">[4]Лист1!$C$225</definedName>
    <definedName name="о_яч_дф">[4]Лист1!$E$225</definedName>
    <definedName name="о_яч_т">[4]Лист1!$B$225</definedName>
    <definedName name="о_яч_тф">[4]Лист1!$D$225</definedName>
    <definedName name="о61005" hidden="1">{"print95",#N/A,FALSE,"1995E.XLS";"print96",#N/A,FALSE,"1996E.XLS"}</definedName>
    <definedName name="оаенге">[0]!оаенге</definedName>
    <definedName name="оаеноеое">[0]!оаеноеое</definedName>
    <definedName name="ОАО_авансы_получ">'[4]PL (2)'!#REF!</definedName>
    <definedName name="ОАО_кред_товар">[4]Лист1!$F$37</definedName>
    <definedName name="ОАО_пл_з">[4]Лист1!#REF!</definedName>
    <definedName name="ОАО_пл_зак">[4]Лист1!#REF!</definedName>
    <definedName name="ОАО_пл_пост">[4]Лист1!#REF!</definedName>
    <definedName name="ОАО_пл_т">[4]Лист1!#REF!</definedName>
    <definedName name="ОАО_тек_з">[4]Лист1!#REF!</definedName>
    <definedName name="ОАО_тек_зак">[4]Лист1!#REF!</definedName>
    <definedName name="ОАО_тек_пост">[4]Лист1!#REF!</definedName>
    <definedName name="ОАО_тек_т">[4]Лист1!#REF!</definedName>
    <definedName name="оао1">#REF!</definedName>
    <definedName name="оаогщ">#REF!</definedName>
    <definedName name="оаодшр">#REF!</definedName>
    <definedName name="оаодшрд">#REF!</definedName>
    <definedName name="оар" hidden="1">{"'интерфейс'!$J$31:$M$43"}</definedName>
    <definedName name="ОбКонв">#REF!</definedName>
    <definedName name="обл" hidden="1">{#N/A,#N/A,FALSE,"Aging Summary";#N/A,#N/A,FALSE,"Ratio Analysis";#N/A,#N/A,FALSE,"Test 120 Day Accts";#N/A,#N/A,FALSE,"Tickmarks"}</definedName>
    <definedName name="_xlnm.Print_Area">#REF!</definedName>
    <definedName name="облицовка">#REF!</definedName>
    <definedName name="обои">#REF!</definedName>
    <definedName name="Оборот">#REF!</definedName>
    <definedName name="ОбОф">#REF!</definedName>
    <definedName name="обременения">#REF!</definedName>
    <definedName name="ОбФин">#REF!</definedName>
    <definedName name="общ">[4]Лист1!#REF!</definedName>
    <definedName name="общ.ожид.встр.у.е.">#REF!</definedName>
    <definedName name="общ.ожид.кв.у.е.">[112]бог!#REF!</definedName>
    <definedName name="общ.пл.">[112]бог!#REF!</definedName>
    <definedName name="общ.пл.встр.">#REF!</definedName>
    <definedName name="общ.пл.кв.">[112]бог!#REF!</definedName>
    <definedName name="ОбщаяПл">'[99]Сводный-затраты'!$C$3</definedName>
    <definedName name="объем">[93]Характеристика!$B$37</definedName>
    <definedName name="Объем_Аналога">#REF!</definedName>
    <definedName name="Объем_дополн.">#REF!</definedName>
    <definedName name="Объем_здания">#REF!</definedName>
    <definedName name="ОВ_Авозвр">'[4]Balance Sheet'!#REF!</definedName>
    <definedName name="ОВ_Адолл">'[4]Balance Sheet'!#REF!</definedName>
    <definedName name="ОВ_Аруб">'[4]Balance Sheet'!#REF!</definedName>
    <definedName name="оваегаенгеногеноленоеко">[0]!оваегаенгеногеноленоеко</definedName>
    <definedName name="овапрпаро">[0]!овапрпаро</definedName>
    <definedName name="овес">[4]Лист1!$J$89</definedName>
    <definedName name="ОВЗ_тек">[4]Лист1!$K$207</definedName>
    <definedName name="овкоерн">[0]!овкоерн</definedName>
    <definedName name="овррарарпа">[0]!овррарарпа</definedName>
    <definedName name="овса">'[4]Фин. вложения'!$P$58</definedName>
    <definedName name="оггшднгш">[0]!оггшднгш</definedName>
    <definedName name="огкенекген">[0]!огкенекген</definedName>
    <definedName name="огуен5">[0]!огуен5</definedName>
    <definedName name="огуенг">[0]!огуенг</definedName>
    <definedName name="ОДР">#REF!</definedName>
    <definedName name="ОДРНП">#REF!</definedName>
    <definedName name="ОДФР_выб">[4]Лист1!$K$255</definedName>
    <definedName name="ОДФР_пост">[4]Лист1!$K$97</definedName>
    <definedName name="одьод">[0]!одьод</definedName>
    <definedName name="ое">[0]!ое</definedName>
    <definedName name="оеаен">[0]!оеаен</definedName>
    <definedName name="оевнроепо">[0]!оевнроепо</definedName>
    <definedName name="оекноген">[0]!оекноген</definedName>
    <definedName name="оенен">[0]!оенен</definedName>
    <definedName name="оенешпн">[0]!оенешпн</definedName>
    <definedName name="оенкешн">[0]!оенкешн</definedName>
    <definedName name="оено">[0]!оено</definedName>
    <definedName name="оеное">[0]!оеное</definedName>
    <definedName name="оеноеное">[0]!оеноеное</definedName>
    <definedName name="оеоеон">[0]!оеоеон</definedName>
    <definedName name="оероео">[0]!оероео</definedName>
    <definedName name="ожж" hidden="1">{#N/A,#N/A,TRUE,"Буржуям"}</definedName>
    <definedName name="ожид.закл.встр.у.е.">#REF!</definedName>
    <definedName name="ожид.закл.кв.">[112]бог!#REF!</definedName>
    <definedName name="ожид.закл.кв.у.е.">[112]бог!#REF!</definedName>
    <definedName name="ожид.незакл.встр.">#REF!</definedName>
    <definedName name="ожид.незакл.встр.у.е.">#REF!</definedName>
    <definedName name="ожид.незакл.дог.">[112]бог!#REF!</definedName>
    <definedName name="ожид.незакл.кв.у.е.">[112]бог!#REF!</definedName>
    <definedName name="ожид.непрод.встр.">#REF!</definedName>
    <definedName name="ожид.непрод.кв.">[112]бог!#REF!</definedName>
    <definedName name="ОИ" hidden="1">{#N/A,#N/A,TRUE,"Лист3"}</definedName>
    <definedName name="окаео">[0]!окаео</definedName>
    <definedName name="окен">[0]!окен</definedName>
    <definedName name="океокекг">[0]!океокекг</definedName>
    <definedName name="океоокуаыа" hidden="1">{"'Sheet1'!$A$1:$G$85"}</definedName>
    <definedName name="оклнпогнг">[0]!оклнпогнг</definedName>
    <definedName name="окна">#REF!</definedName>
    <definedName name="окт03гр">#REF!</definedName>
    <definedName name="окт03руб.">#REF!</definedName>
    <definedName name="окт03у.е.">#REF!</definedName>
    <definedName name="окт04гр">#REF!</definedName>
    <definedName name="окт04руб">#REF!</definedName>
    <definedName name="окт04у.е.">#REF!</definedName>
    <definedName name="октябрь" hidden="1">{#N/A,#N/A,TRUE,"Буржуям"}</definedName>
    <definedName name="олд">#REF!</definedName>
    <definedName name="ОЛДкурс">'[160]Таблица 8'!#REF!</definedName>
    <definedName name="оленреа">[0]!оленреа</definedName>
    <definedName name="олл">[161]Содержание!$J$15</definedName>
    <definedName name="олнуекц">[0]!олнуекц</definedName>
    <definedName name="олололол" hidden="1">{"glc1",#N/A,FALSE,"GLC";"glc2",#N/A,FALSE,"GLC";"glc3",#N/A,FALSE,"GLC";"glc4",#N/A,FALSE,"GLC";"glc5",#N/A,FALSE,"GLC"}</definedName>
    <definedName name="ололололол" hidden="1">{"glc1",#N/A,FALSE,"GLC";"glc2",#N/A,FALSE,"GLC";"glc3",#N/A,FALSE,"GLC";"glc4",#N/A,FALSE,"GLC";"glc5",#N/A,FALSE,"GLC"}</definedName>
    <definedName name="он">[0]!он</definedName>
    <definedName name="ононо">[0]!ононо</definedName>
    <definedName name="онуе6нгу">[0]!онуе6нгу</definedName>
    <definedName name="оо" hidden="1">{#N/A,#N/A,FALSE,"Aging Summary";#N/A,#N/A,FALSE,"Ratio Analysis";#N/A,#N/A,FALSE,"Test 120 Day Accts";#N/A,#N/A,FALSE,"Tickmarks"}</definedName>
    <definedName name="ооаоаоаоао" hidden="1">{"glc1",#N/A,FALSE,"GLC";"glc2",#N/A,FALSE,"GLC";"glc3",#N/A,FALSE,"GLC";"glc4",#N/A,FALSE,"GLC";"glc5",#N/A,FALSE,"GLC"}</definedName>
    <definedName name="ооепнгенг">[0]!ооепнгенг</definedName>
    <definedName name="ООМ">[133]Контрагенты!$C$76:$C$78</definedName>
    <definedName name="ооо">[0]!ооо</definedName>
    <definedName name="оопооопопопопо" hidden="1">{#N/A,#N/A,FALSE,"Aging Summary";#N/A,#N/A,FALSE,"Ratio Analysis";#N/A,#N/A,FALSE,"Test 120 Day Accts";#N/A,#N/A,FALSE,"Tickmarks"}</definedName>
    <definedName name="оорп" hidden="1">{#N/A,#N/A,TRUE,"Буржуям"}</definedName>
    <definedName name="ОП">#REF!</definedName>
    <definedName name="опа">[0]!опа</definedName>
    <definedName name="опаавя">#REF!</definedName>
    <definedName name="опвапро">[0]!опвапро</definedName>
    <definedName name="ОПДС">#REF!</definedName>
    <definedName name="оперативно" hidden="1">{#N/A,#N/A,TRUE,"Буржуям"}</definedName>
    <definedName name="оперативное" hidden="1">{#N/A,#N/A,TRUE,"Буржуям"}</definedName>
    <definedName name="оперативные" hidden="1">{#N/A,#N/A,TRUE,"Буржуям"}</definedName>
    <definedName name="описание" hidden="1">{"glc1",#N/A,FALSE,"GLC";"glc2",#N/A,FALSE,"GLC";"glc3",#N/A,FALSE,"GLC";"glc4",#N/A,FALSE,"GLC";"glc5",#N/A,FALSE,"GLC"}</definedName>
    <definedName name="опл">[118]списки!$E$34</definedName>
    <definedName name="опл_имп">[118]списки!$E$30</definedName>
    <definedName name="опла.кв.руб.безмфтц">'[112]каскад,5'!#REF!</definedName>
    <definedName name="оплас.допл.комм.встр.">#REF!</definedName>
    <definedName name="оплач.встр.безмфтц">#REF!</definedName>
    <definedName name="оплач.встр.мфтц">#REF!</definedName>
    <definedName name="оплач.встр.руб.">#REF!</definedName>
    <definedName name="оплач.встр.руб.безмфтц">#REF!</definedName>
    <definedName name="оплач.встр.руб.мфтц">#REF!</definedName>
    <definedName name="оплач.встр.у.е.">#REF!</definedName>
    <definedName name="оплач.закл.встр.руб.">#REF!</definedName>
    <definedName name="оплач.закл.встр.у.е.">#REF!</definedName>
    <definedName name="оплач.кв.безмфтц">#REF!</definedName>
    <definedName name="оплач.кв.мфтц">#REF!</definedName>
    <definedName name="оплач.кв.руб.">[112]бог!#REF!</definedName>
    <definedName name="оплач.кв.руб.мфтц">#REF!</definedName>
    <definedName name="оплач.кв.у.е.">[112]бог!#REF!</definedName>
    <definedName name="оплач.комм.встр.">#REF!</definedName>
    <definedName name="оплач.комм.доп.кв.">[112]бог!#REF!</definedName>
    <definedName name="оплач.комм.кв.">[112]бог!#REF!</definedName>
    <definedName name="оплач.ст.руб.">#REF!</definedName>
    <definedName name="оплач.ст.у.е.">#REF!</definedName>
    <definedName name="опопп">[0]!опопп</definedName>
    <definedName name="опоры">#REF!</definedName>
    <definedName name="опррва">[0]!опррва</definedName>
    <definedName name="ор" hidden="1">{"glc1",#N/A,FALSE,"GLC";"glc2",#N/A,FALSE,"GLC";"glc3",#N/A,FALSE,"GLC";"glc4",#N/A,FALSE,"GLC";"glc5",#N/A,FALSE,"GLC"}</definedName>
    <definedName name="Орел">#REF!</definedName>
    <definedName name="Орел_просо">[4]Лист1!$K$152</definedName>
    <definedName name="орел_просо_неопл">[4]Лист1!$L$152</definedName>
    <definedName name="Орел_просо_своб">[4]Лист1!$I$152</definedName>
    <definedName name="Орел_пш_5">[4]Лист1!$K$64</definedName>
    <definedName name="Орел_пш_5_своб">[4]Лист1!$I$64</definedName>
    <definedName name="Орел_пш_ф_неопл">[4]Лист1!$L$64</definedName>
    <definedName name="Орел_ячм_неопл">[4]Лист1!$L$137</definedName>
    <definedName name="Орел_ячм_своб">[4]Лист1!$I$137</definedName>
    <definedName name="Орел_ячмень">[4]Лист1!$K$137</definedName>
    <definedName name="ори" hidden="1">{"glc1",#N/A,FALSE,"GLC";"glc2",#N/A,FALSE,"GLC";"glc3",#N/A,FALSE,"GLC";"glc4",#N/A,FALSE,"GLC";"glc5",#N/A,FALSE,"GLC"}</definedName>
    <definedName name="ориротлот">[0]!ориротлот</definedName>
    <definedName name="орло">[0]!орло</definedName>
    <definedName name="орлр">[0]!орлр</definedName>
    <definedName name="орорлроэ">[0]!орорлроэ</definedName>
    <definedName name="орп" hidden="1">{"'Prices'!$A$4:$J$27"}</definedName>
    <definedName name="орпавфыф" hidden="1">{"glc1",#N/A,FALSE,"GLC";"glc2",#N/A,FALSE,"GLC";"glc3",#N/A,FALSE,"GLC";"glc4",#N/A,FALSE,"GLC";"glc5",#N/A,FALSE,"GLC"}</definedName>
    <definedName name="орпарв" hidden="1">{"glc1",#N/A,FALSE,"GLC";"glc2",#N/A,FALSE,"GLC";"glc3",#N/A,FALSE,"GLC";"glc4",#N/A,FALSE,"GLC";"glc5",#N/A,FALSE,"GLC"}</definedName>
    <definedName name="орпваыв" hidden="1">{"assets",#N/A,FALSE,"historicBS";"liab",#N/A,FALSE,"historicBS";"is",#N/A,FALSE,"historicIS";"ratios",#N/A,FALSE,"ratios"}</definedName>
    <definedName name="орпорп" hidden="1">{#VALUE!,#N/A,TRUE,0}</definedName>
    <definedName name="орукздл" hidden="1">{"glc1",#N/A,FALSE,"GLC";"glc2",#N/A,FALSE,"GLC";"glc3",#N/A,FALSE,"GLC";"glc4",#N/A,FALSE,"GLC";"glc5",#N/A,FALSE,"GLC"}</definedName>
    <definedName name="ОС">'[4]Хран сах '!$F$104</definedName>
    <definedName name="Осн">'[4]Хран сах '!$F$472</definedName>
    <definedName name="основания">#REF!</definedName>
    <definedName name="ост_3кл">[4]Лист1!$H$20</definedName>
    <definedName name="ост_БП">[4]Лист1!$K$212</definedName>
    <definedName name="ост_ВСЕГО">[4]Лист1!$K$219</definedName>
    <definedName name="ост_греч">[4]Лист1!$H$24</definedName>
    <definedName name="ост_мраст">[4]Лист1!$H$26</definedName>
    <definedName name="ост_НАС">[4]Лист1!$K$207</definedName>
    <definedName name="ост_НПК">[4]Лист1!$K$70</definedName>
    <definedName name="ост_под">[4]Лист1!$H$25</definedName>
    <definedName name="ост_просо">[4]Лист1!$H$22</definedName>
    <definedName name="ост_пф">[4]Лист1!$H$21</definedName>
    <definedName name="ост_пшено">[4]Лист1!$H$23</definedName>
    <definedName name="ост_РЗК">[4]Лист1!$K$112</definedName>
    <definedName name="ост_РПК">[4]Лист1!$K$18</definedName>
    <definedName name="ост_РСК">[4]Лист1!$K$55</definedName>
    <definedName name="ост_РЦ">[4]Лист1!$K$202</definedName>
    <definedName name="ост_ТФ">[4]Лист1!$K$65</definedName>
    <definedName name="ост_яч">[4]Лист1!$H$19</definedName>
    <definedName name="остатки_вх_день">[4]Лист1!$N$3:$Q$218</definedName>
    <definedName name="остатки_вх_мес">[4]Лист1!$I$3:$M$218</definedName>
    <definedName name="остатки_исх_день">[4]Лист1!$AB$3:$AE$218</definedName>
    <definedName name="Остаток">#REF!</definedName>
    <definedName name="остаток_всего">[4]Лист1!$T$54</definedName>
    <definedName name="Остаток_новый">#REF!</definedName>
    <definedName name="остекление">#REF!</definedName>
    <definedName name="отгр_по">[4]Лист1!$E$28</definedName>
    <definedName name="отделка">#REF!</definedName>
    <definedName name="ОТДЕЛКА_ЧЕРНОВАЯ">#REF!</definedName>
    <definedName name="отделкадома">#REF!</definedName>
    <definedName name="отдых">#REF!</definedName>
    <definedName name="ОТМОСТКА">#REF!</definedName>
    <definedName name="отопление">#REF!</definedName>
    <definedName name="отчет" hidden="1">{#N/A,#N/A,TRUE,"Буржуям"}</definedName>
    <definedName name="Отчетность">[162]Словари!$B$5:$B$6</definedName>
    <definedName name="Отчисления_от_зпл">0.385</definedName>
    <definedName name="оуекно">[0]!оуекно</definedName>
    <definedName name="оуене">[0]!оуене</definedName>
    <definedName name="оуенуен">[0]!оуенуен</definedName>
    <definedName name="оуеокук">[0]!оуеокук</definedName>
    <definedName name="оукегцк">[0]!оукегцк</definedName>
    <definedName name="оукеоео">[0]!оукеоео</definedName>
    <definedName name="Оферта">#REF!</definedName>
    <definedName name="Офис_Office_Тип_Type">[48]Inputs_Assumptions!$D$226:$D$226</definedName>
    <definedName name="ОФР2" hidden="1">{"'интерфейс'!$J$31:$M$43"}</definedName>
    <definedName name="ОФР3" hidden="1">{"'интерфейс'!$J$31:$M$43"}</definedName>
    <definedName name="ОХ">[133]Контрагенты!$C$24:$C$54</definedName>
    <definedName name="ОХР_ОБЩ">#REF!</definedName>
    <definedName name="ОХР_пл">[4]Лист1!#REF!</definedName>
    <definedName name="охр_рз">[4]Лист1!$J$103</definedName>
    <definedName name="ОХР_РУ">#REF!</definedName>
    <definedName name="ОХР_РЦ">[4]Лист1!$J$197</definedName>
    <definedName name="ОХР_тек">[4]Лист1!$K$203</definedName>
    <definedName name="ОХР_Уфа">[4]Лист1!#REF!</definedName>
    <definedName name="охрана">#REF!</definedName>
    <definedName name="оцек">[0]!оцек</definedName>
    <definedName name="оцк5ншуе">[0]!оцк5ншуе</definedName>
    <definedName name="ош">[0]!ош</definedName>
    <definedName name="Ошибка">#REF!</definedName>
    <definedName name="Ошибка__Курск_59.9999999999999">[4]Лист1!$AR$55</definedName>
    <definedName name="ошшш">[0]!ошшш</definedName>
    <definedName name="оывкаеоео">[0]!оывкаеоео</definedName>
    <definedName name="оьщжш" hidden="1">{"'Prices'!$A$4:$J$27"}</definedName>
    <definedName name="п" hidden="1">{"glc1",#N/A,FALSE,"GLC";"glc2",#N/A,FALSE,"GLC";"glc3",#N/A,FALSE,"GLC";"glc4",#N/A,FALSE,"GLC";"glc5",#N/A,FALSE,"GLC"}</definedName>
    <definedName name="п_3к_а">[4]Лист1!#REF!</definedName>
    <definedName name="п_3к_д">[4]Лист1!$D$21</definedName>
    <definedName name="п_3к_дпр">[4]Лист1!$F$21</definedName>
    <definedName name="п_3к_т">[4]Лист1!$C$21</definedName>
    <definedName name="п_3к_тпр">[4]Лист1!$E$21</definedName>
    <definedName name="п_3кэ_а">[4]Лист1!#REF!</definedName>
    <definedName name="п_3кэ_д">[4]Лист1!$D$22</definedName>
    <definedName name="п_3кэ_дпр">[4]Лист1!$F$22</definedName>
    <definedName name="п_3кэ_т">[4]Лист1!$C$22</definedName>
    <definedName name="п_3кэ_тпр">[4]Лист1!$E$22</definedName>
    <definedName name="п_3суд">#REF!</definedName>
    <definedName name="п_всего_тек">#REF!</definedName>
    <definedName name="п_дб">[4]Лист1!$K$87</definedName>
    <definedName name="п_день_долл">#REF!</definedName>
    <definedName name="п_день_руб">#REF!</definedName>
    <definedName name="п_инв">[4]Лист1!$K$90</definedName>
    <definedName name="п_инв1">#REF!</definedName>
    <definedName name="п_инв2">#REF!</definedName>
    <definedName name="п_инв3">#REF!</definedName>
    <definedName name="п_ма">#REF!</definedName>
    <definedName name="п_мк_мас">[4]Лист1!$K$48</definedName>
    <definedName name="п_мр_а">[4]Лист1!#REF!</definedName>
    <definedName name="п_мр_д">[4]Лист1!$D$23</definedName>
    <definedName name="п_мр_дпр">[4]Лист1!$F$23</definedName>
    <definedName name="п_мр_т">[4]Лист1!$C$23</definedName>
    <definedName name="п_мр_тпр">[4]Лист1!$E$23</definedName>
    <definedName name="п_оао_11">#REF!</definedName>
    <definedName name="п_оао_13">#REF!</definedName>
    <definedName name="п_оао_15">#REF!</definedName>
    <definedName name="п_оао_8">#REF!</definedName>
    <definedName name="п_оао_птр">#REF!</definedName>
    <definedName name="п_оао_р">#REF!</definedName>
    <definedName name="п_оао_т">#REF!</definedName>
    <definedName name="п_оао1">#REF!</definedName>
    <definedName name="п_оао10">#REF!</definedName>
    <definedName name="п_оао2">#REF!</definedName>
    <definedName name="п_оао3">#REF!</definedName>
    <definedName name="п_оао4">#REF!</definedName>
    <definedName name="п_оао5">#REF!</definedName>
    <definedName name="п_оао6">#REF!</definedName>
    <definedName name="п_оао7">#REF!</definedName>
    <definedName name="п_оао9">#REF!</definedName>
    <definedName name="п_овз">[4]Лист1!$K$85</definedName>
    <definedName name="п_офо_12">#REF!</definedName>
    <definedName name="п_пен">[4]Лист1!$K$81</definedName>
    <definedName name="п_пк_гов">[4]Лист1!$K$49</definedName>
    <definedName name="п_пк_дтуш">[4]Лист1!$K$46</definedName>
    <definedName name="п_пк_мас">#REF!</definedName>
    <definedName name="п_пк_мс">[4]Лист1!$K$47</definedName>
    <definedName name="п_пк_туш">[4]Лист1!$K$44</definedName>
    <definedName name="П_ПНОС">#REF!</definedName>
    <definedName name="п_погдеб">[4]Лист1!$K$86</definedName>
    <definedName name="п_под_а">[4]Лист1!#REF!</definedName>
    <definedName name="п_под_д">[4]Лист1!$D$26</definedName>
    <definedName name="п_под_дпр">[4]Лист1!$F$26</definedName>
    <definedName name="п_под_т">[4]Лист1!$C$26</definedName>
    <definedName name="п_под_тпр">[4]Лист1!$E$26</definedName>
    <definedName name="П_произв">#REF!</definedName>
    <definedName name="п_проч">[4]Лист1!$K$88</definedName>
    <definedName name="П_прочие">#REF!</definedName>
    <definedName name="п_пф_а">[4]Лист1!#REF!</definedName>
    <definedName name="п_пф_д">[4]Лист1!$D$19</definedName>
    <definedName name="п_пф_дпр">[4]Лист1!$F$19</definedName>
    <definedName name="п_пф_т">[4]Лист1!$C$19</definedName>
    <definedName name="п_пф_тпр">[4]Лист1!$E$19</definedName>
    <definedName name="п_р_уфа">[4]Лист1!$K$51</definedName>
    <definedName name="п_рз_3к">[4]Лист1!$K$25</definedName>
    <definedName name="п_рз_греч">[4]Лист1!$K$18</definedName>
    <definedName name="п_рз_деб">[4]Лист1!$K$14</definedName>
    <definedName name="п_рз_мр">#REF!</definedName>
    <definedName name="п_рз_мрас">[4]Лист1!$K$17</definedName>
    <definedName name="п_рз_п4">#REF!</definedName>
    <definedName name="п_рз_подс">[4]Лист1!$K$22</definedName>
    <definedName name="п_рз_прос">[4]Лист1!$K$20</definedName>
    <definedName name="п_рз_пф">[4]Лист1!$K$24</definedName>
    <definedName name="п_рз_яч">[4]Лист1!$K$23</definedName>
    <definedName name="п_рзя">#REF!</definedName>
    <definedName name="п_рпк_тиого">#REF!</definedName>
    <definedName name="п_рск_3">#REF!</definedName>
    <definedName name="п_рск_в">#REF!</definedName>
    <definedName name="п_ру_деб">#REF!</definedName>
    <definedName name="п_ру_кр">#REF!</definedName>
    <definedName name="п_ру_мк">#REF!</definedName>
    <definedName name="п_ру_моб">[4]Лист1!#REF!</definedName>
    <definedName name="п_ру_мрж">#REF!</definedName>
    <definedName name="п_ру_рожь">#REF!</definedName>
    <definedName name="п_ру_сах">#REF!</definedName>
    <definedName name="п_ру_яйц">#REF!</definedName>
    <definedName name="п_ск_3суд">#REF!</definedName>
    <definedName name="п_ск_7суд">#REF!</definedName>
    <definedName name="п_ск_гилл">[4]Лист1!$K$33</definedName>
    <definedName name="п_ск_кар">[4]Лист1!$K$32</definedName>
    <definedName name="п_ск_пак">[4]Лист1!$K$39</definedName>
    <definedName name="п_ск_там">[4]Лист1!$K$40</definedName>
    <definedName name="п_ск_ук">[4]Лист1!$K$31</definedName>
    <definedName name="п_ск_укрд">#REF!</definedName>
    <definedName name="П_Смета">#REF!</definedName>
    <definedName name="п_тек_ком">#REF!</definedName>
    <definedName name="П_техн">#REF!</definedName>
    <definedName name="п_тф">[4]Лист1!$K$69</definedName>
    <definedName name="п_тш_гум">#REF!</definedName>
    <definedName name="п_тш_урк">#REF!</definedName>
    <definedName name="П_у1">[4]Лист1!#REF!</definedName>
    <definedName name="п_у2">[4]Лист1!$K$56</definedName>
    <definedName name="п_у3">[4]Лист1!$K$57</definedName>
    <definedName name="п_у4">[4]Лист1!#REF!</definedName>
    <definedName name="п_у5">[4]Лист1!$K$58</definedName>
    <definedName name="п_у6">[4]Лист1!$K$59</definedName>
    <definedName name="п_у7">[4]Лист1!$K$60</definedName>
    <definedName name="п_фин">[4]Лист1!$K$93</definedName>
    <definedName name="п_фин__КБ">#REF!</definedName>
    <definedName name="п_фин_кб">#REF!</definedName>
    <definedName name="п_фин_кр">[4]Лист1!$K$94</definedName>
    <definedName name="п_фин_овер_рз">#REF!</definedName>
    <definedName name="п_фин_овер1">#REF!</definedName>
    <definedName name="п_фин_проч">#REF!</definedName>
    <definedName name="п_фин_с_3">#REF!</definedName>
    <definedName name="п_фин_фозкр">[4]Лист1!$K$95</definedName>
    <definedName name="п_фин3">#REF!</definedName>
    <definedName name="п_фин4">#REF!</definedName>
    <definedName name="п_фин6">#REF!</definedName>
    <definedName name="п_фин7">#REF!</definedName>
    <definedName name="П_янв">#REF!</definedName>
    <definedName name="п_яч_а">[4]Лист1!#REF!</definedName>
    <definedName name="п_яч_д">[4]Лист1!$D$20</definedName>
    <definedName name="п_яч_дпр">[4]Лист1!$F$20</definedName>
    <definedName name="п_яч_т">[4]Лист1!$C$20</definedName>
    <definedName name="п_яч_тпр">[4]Лист1!$E$20</definedName>
    <definedName name="ПL12">#REF!</definedName>
    <definedName name="ПL13">#REF!</definedName>
    <definedName name="ПL134">#REF!</definedName>
    <definedName name="ПL136">#REF!</definedName>
    <definedName name="ПL139">#REF!</definedName>
    <definedName name="ПL140">#REF!</definedName>
    <definedName name="ПL141">#REF!</definedName>
    <definedName name="ПL142">#REF!</definedName>
    <definedName name="ПL143">#REF!</definedName>
    <definedName name="пL32">#REF!</definedName>
    <definedName name="ПL39">#REF!</definedName>
    <definedName name="ПL42">#REF!</definedName>
    <definedName name="ПL59">#REF!</definedName>
    <definedName name="ПL73">#REF!</definedName>
    <definedName name="па">#REF!</definedName>
    <definedName name="паа">[52]Настройка!$A$5</definedName>
    <definedName name="павпавпас" hidden="1">[84]MAIN!#REF!</definedName>
    <definedName name="паег">[0]!паег</definedName>
    <definedName name="пан">[0]!пан</definedName>
    <definedName name="панорама" hidden="1">{#N/A,#N/A,TRUE,"Буржуям"}</definedName>
    <definedName name="паоо">[0]!паоо</definedName>
    <definedName name="паопво">[0]!паопво</definedName>
    <definedName name="папа" hidden="1">{"konoplin - Личное представление",#N/A,TRUE,"ФинПлан_1кв";"konoplin - Личное представление",#N/A,TRUE,"ФинПлан_2кв"}</definedName>
    <definedName name="пар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Параметр">'[147]Предпр.-взвеш. оценка'!#REF!</definedName>
    <definedName name="параоппо">[0]!параоппо</definedName>
    <definedName name="парврп">[0]!парврп</definedName>
    <definedName name="парковка">#REF!</definedName>
    <definedName name="парыа">[0]!парыа</definedName>
    <definedName name="пасвп">[0]!пасвп</definedName>
    <definedName name="пась">[0]!пась</definedName>
    <definedName name="патока">[4]Лист1!$AD$89</definedName>
    <definedName name="паыарыа">[0]!паыарыа</definedName>
    <definedName name="пвап" hidden="1">#REF!</definedName>
    <definedName name="пвр.у.е.">'[92]Гр+'!#REF!</definedName>
    <definedName name="ПВС1">[163]НФИк!$A$17</definedName>
    <definedName name="пеаннпа">[0]!пеаннпа</definedName>
    <definedName name="певопро">[0]!певопро</definedName>
    <definedName name="пелвлр">[0]!пелвлр</definedName>
    <definedName name="пен">[0]!пен</definedName>
    <definedName name="пеол">[0]!пеол</definedName>
    <definedName name="первый_взнос">[92]ВводД!$C$1</definedName>
    <definedName name="перевалка">[4]СКР!$D$67</definedName>
    <definedName name="перевалка_Шексна">[4]СКР!$D$67</definedName>
    <definedName name="перегородки">#REF!</definedName>
    <definedName name="ПЕРЕКРЫТИЕ">#REF!</definedName>
    <definedName name="ПЕРЕКРЫТИЕ_ЛЕСТН">#REF!</definedName>
    <definedName name="перекрытия">#REF!</definedName>
    <definedName name="перемычки">#REF!</definedName>
    <definedName name="перепланировка">#REF!</definedName>
    <definedName name="перер_просо_неопл">[4]Лист1!$L$154</definedName>
    <definedName name="Перераб_просо">[4]Лист1!$K$154</definedName>
    <definedName name="Перераб_просо_своб">[4]Лист1!$I$154</definedName>
    <definedName name="ПерЗ1">[4]Лист1!#REF!</definedName>
    <definedName name="Период">#REF!</definedName>
    <definedName name="пеьовпно">[0]!пеьовпно</definedName>
    <definedName name="ПИ">#REF!</definedName>
    <definedName name="пив">'[4]Фин. вложения'!$J$58</definedName>
    <definedName name="пиво">[4]Лист1!$X$89</definedName>
    <definedName name="пиит" hidden="1">{"'Prices'!$A$4:$J$27"}</definedName>
    <definedName name="письмо">#REF!</definedName>
    <definedName name="пй" hidden="1">{#N/A,#N/A,FALSE,"Aging Summary";#N/A,#N/A,FALSE,"Ratio Analysis";#N/A,#N/A,FALSE,"Test 120 Day Accts";#N/A,#N/A,FALSE,"Tickmarks"}</definedName>
    <definedName name="пл">#REF!</definedName>
    <definedName name="Пл_земля">[148]Исход.инф.!$B$9</definedName>
    <definedName name="плJ10">#REF!</definedName>
    <definedName name="плJ12">#REF!</definedName>
    <definedName name="плJ39">#REF!</definedName>
    <definedName name="плJ55">#REF!</definedName>
    <definedName name="плJ68">#REF!</definedName>
    <definedName name="плN10">#REF!</definedName>
    <definedName name="плN12">#REF!</definedName>
    <definedName name="плN39">#REF!</definedName>
    <definedName name="плN55">#REF!</definedName>
    <definedName name="плN68">#REF!</definedName>
    <definedName name="плT10">#REF!</definedName>
    <definedName name="плT12">#REF!</definedName>
    <definedName name="плT39">#REF!</definedName>
    <definedName name="плT55">#REF!</definedName>
    <definedName name="плT68">#REF!</definedName>
    <definedName name="план04ЛССМУ">'[92]Гр+'!#REF!</definedName>
    <definedName name="план04МФТЦ">'[92]Гр+'!#REF!</definedName>
    <definedName name="планир.год">#REF!</definedName>
    <definedName name="планировка">#REF!</definedName>
    <definedName name="ПланПУ">#REF!</definedName>
    <definedName name="плата" hidden="1">{#N/A,#N/A,TRUE,"Буржуям"}</definedName>
    <definedName name="плвпрл">[0]!плвпрл</definedName>
    <definedName name="плита">#REF!</definedName>
    <definedName name="ПЛО" hidden="1">{#N/A,#N/A,TRUE,"Буржуям"}</definedName>
    <definedName name="ПлотностьЗастройки">[99]Параметры!$B$12</definedName>
    <definedName name="ПлощадьУчастка">[99]Параметры!$B$10</definedName>
    <definedName name="плюсНДС">#N/A</definedName>
    <definedName name="пн">[0]!пн</definedName>
    <definedName name="пнгенгшенг">[0]!пнгенгшенг</definedName>
    <definedName name="пнгншен">[0]!пнгншен</definedName>
    <definedName name="ПО">#REF!</definedName>
    <definedName name="ПО1">[4]Лист1!$E$20</definedName>
    <definedName name="ПО2">[4]Лист1!$E$33</definedName>
    <definedName name="поа">'[164]Предпр.-взвеш. оценка'!#REF!</definedName>
    <definedName name="поао">[0]!поао</definedName>
    <definedName name="погмпп">[0]!погмпп</definedName>
    <definedName name="подсол">[4]Лист1!#REF!</definedName>
    <definedName name="подсол_дол">[4]Лист1!#REF!</definedName>
    <definedName name="подсол_дол_факт">[4]Лист1!#REF!</definedName>
    <definedName name="подсол_руб">[4]Лист1!#REF!</definedName>
    <definedName name="подсол_руб_факт">[4]Лист1!#REF!</definedName>
    <definedName name="подсол_факт">[4]Лист1!#REF!</definedName>
    <definedName name="подсолн_отгр">[4]Лист1!$F$232</definedName>
    <definedName name="подсолнечник">[4]Лист1!$F$232</definedName>
    <definedName name="подсолнух">[4]Лист1!$V$89</definedName>
    <definedName name="поелпл">[0]!поелпл</definedName>
    <definedName name="поенгкге">[0]!поенгкге</definedName>
    <definedName name="Покупка">[4]Лист1!$AA$89</definedName>
    <definedName name="ПОЛИКАРБОНАТ">'[56]см. ЦЕНЫ '!$B$288</definedName>
    <definedName name="полп">#REF!</definedName>
    <definedName name="полппо">[0]!полппо</definedName>
    <definedName name="полы">#REF!</definedName>
    <definedName name="помощь" hidden="1">{#N/A,#N/A,TRUE,"Буржуям"}</definedName>
    <definedName name="понпгш">[0]!понпгш</definedName>
    <definedName name="попкорн">'[4]Фин. вложения'!#REF!</definedName>
    <definedName name="попопопопопо" hidden="1">{"glc1",#N/A,FALSE,"GLC";"glc2",#N/A,FALSE,"GLC";"glc3",#N/A,FALSE,"GLC";"glc4",#N/A,FALSE,"GLC";"glc5",#N/A,FALSE,"GLC"}</definedName>
    <definedName name="попопоппопо" hidden="1">{"glc1",#N/A,FALSE,"GLC";"glc2",#N/A,FALSE,"GLC";"glc3",#N/A,FALSE,"GLC";"glc4",#N/A,FALSE,"GLC";"glc5",#N/A,FALSE,"GLC"}</definedName>
    <definedName name="попопопр">[0]!попопопр</definedName>
    <definedName name="поправка">[51]П!#REF!</definedName>
    <definedName name="попропро">[0]!попропро</definedName>
    <definedName name="пор">'[4]Баланс-новый'!$G$3</definedName>
    <definedName name="порлр">[0]!порлр</definedName>
    <definedName name="порог">2000</definedName>
    <definedName name="пороророророрхз" hidden="1">{"glc1",#N/A,FALSE,"GLC";"glc2",#N/A,FALSE,"GLC";"glc3",#N/A,FALSE,"GLC";"glc4",#N/A,FALSE,"GLC";"glc5",#N/A,FALSE,"GLC"}</definedName>
    <definedName name="порпо">[4]Лист1!$I$2</definedName>
    <definedName name="ПОсД1">[4]Лист1!#REF!</definedName>
    <definedName name="Последняя_строка">#REF!</definedName>
    <definedName name="пост_ск">#REF!</definedName>
    <definedName name="ПостЗ1">[4]Лист1!#REF!</definedName>
    <definedName name="поступление">[4]Лист1!$R$3:$R$218</definedName>
    <definedName name="потв">[0]!потв</definedName>
    <definedName name="Потенциальный_Валовый_Доход___ПВД">'[89]Метод остатка'!#REF!</definedName>
    <definedName name="потолок">#REF!</definedName>
    <definedName name="Потребители">'[165]Пр. №3 Справочник "Контрагенты"'!$C$5:$C$30</definedName>
    <definedName name="почие" hidden="1">{#N/A,#N/A,TRUE,"Буржуям"}</definedName>
    <definedName name="пп" hidden="1">{"assets",#N/A,FALSE,"historicBS";"liab",#N/A,FALSE,"historicBS";"is",#N/A,FALSE,"historicIS";"ratios",#N/A,FALSE,"ratios"}</definedName>
    <definedName name="ппп" hidden="1">{"assets",#N/A,FALSE,"historicBS";"liab",#N/A,FALSE,"historicBS";"is",#N/A,FALSE,"historicIS";"ratios",#N/A,FALSE,"ratios"}</definedName>
    <definedName name="пппппп" hidden="1">{#N/A,#N/A,FALSE,"Virgin Flightdeck"}</definedName>
    <definedName name="ППППППП" hidden="1">{#N/A,#N/A,TRUE,"Буржуям"}</definedName>
    <definedName name="пппппппп" hidden="1">{"'Sheet1'!$A$1:$G$85"}</definedName>
    <definedName name="ппш0">#REF!</definedName>
    <definedName name="ппш1">#REF!</definedName>
    <definedName name="ппш2">#REF!</definedName>
    <definedName name="ппш3">#REF!</definedName>
    <definedName name="пр" hidden="1">{"assets",#N/A,FALSE,"historicBS";"liab",#N/A,FALSE,"historicBS";"is",#N/A,FALSE,"historicIS";"ratios",#N/A,FALSE,"ratios"}</definedName>
    <definedName name="пр_выб_РЦ">[4]Лист1!$J$201</definedName>
    <definedName name="Пр_по_отгр">[4]Лист1!$V$95</definedName>
    <definedName name="права">#REF!</definedName>
    <definedName name="предметы" hidden="1">{#N/A,#N/A,TRUE,"Буржуям"}</definedName>
    <definedName name="предопл">[4]MACRO!#REF!</definedName>
    <definedName name="предп_д">#REF!</definedName>
    <definedName name="предприятие">[111]нормы!$E$3</definedName>
    <definedName name="през_дол">#REF!</definedName>
    <definedName name="президент">#REF!</definedName>
    <definedName name="престижность">#REF!</definedName>
    <definedName name="прЗд">#REF!</definedName>
    <definedName name="приб" hidden="1">{#N/A,#N/A,TRUE,"Буржуям"}</definedName>
    <definedName name="Прибыль" hidden="1">{#N/A,#N/A,TRUE,"Буржуям"}</definedName>
    <definedName name="прибыль_всего_факт">[4]СКР!$Z$35</definedName>
    <definedName name="придомовая">#REF!</definedName>
    <definedName name="ПризнакР">#REF!</definedName>
    <definedName name="прИн">#REF!</definedName>
    <definedName name="ПРИЯМКИ_ЛИФТОВ">#REF!</definedName>
    <definedName name="ПРИЯМКИ_ОСИ_1_9">#REF!</definedName>
    <definedName name="прМаш">#REF!</definedName>
    <definedName name="прнылг" hidden="1">{"glc1",#N/A,FALSE,"GLC";"glc2",#N/A,FALSE,"GLC";"glc3",#N/A,FALSE,"GLC";"glc4",#N/A,FALSE,"GLC";"glc5",#N/A,FALSE,"GLC"}</definedName>
    <definedName name="про">'[166]Машины и оборудование'!$D$56</definedName>
    <definedName name="проав" hidden="1">{"glc1",#N/A,FALSE,"GLC";"glc2",#N/A,FALSE,"GLC";"glc3",#N/A,FALSE,"GLC";"glc4",#N/A,FALSE,"GLC";"glc5",#N/A,FALSE,"GLC"}</definedName>
    <definedName name="проапншн">[0]!проапншн</definedName>
    <definedName name="проба" hidden="1">{"NWN_Q1810",#N/A,FALSE,"Q1810_1.V";"NWN_Q1412",#N/A,FALSE,"Q1412_1"}</definedName>
    <definedName name="проба1" hidden="1">{"NWN_Q1810",#N/A,FALSE,"Q1810_1.V";"NWN_Q1412",#N/A,FALSE,"Q1412_1"}</definedName>
    <definedName name="Пробивка_борозд_в_кирпичных_стенах_для_прокладки_трубных_подводок_сечением_борозд_40х40мм">#REF!</definedName>
    <definedName name="прод">[4]Лист1!$L$68</definedName>
    <definedName name="прод.пл.">[112]бог!#REF!</definedName>
    <definedName name="прод.пл.встр.">#REF!</definedName>
    <definedName name="прод.пл.встр.мфтц">#REF!</definedName>
    <definedName name="прод.пл.кв.">[112]бог!#REF!</definedName>
    <definedName name="прод.пл.кв.мфтц">#REF!</definedName>
    <definedName name="прод.пл.мфтц">'[112]мфтц,к.4'!#REF!</definedName>
    <definedName name="прод.ст.">#REF!</definedName>
    <definedName name="Продажи">'[167]Расчёт 2005'!$K$4</definedName>
    <definedName name="Продажи2">#REF!</definedName>
    <definedName name="продан.пл.">[112]бог!#REF!</definedName>
    <definedName name="продан.пл.встр.">#REF!</definedName>
    <definedName name="проезд" hidden="1">{#N/A,#N/A,TRUE,"Буржуям"}</definedName>
    <definedName name="Проект">#REF!</definedName>
    <definedName name="ПРОЁМЫ">#REF!</definedName>
    <definedName name="пром">'[168]Исх дан'!#REF!</definedName>
    <definedName name="прон" hidden="1">{"assets",#N/A,FALSE,"historicBS";"liab",#N/A,FALSE,"historicBS";"is",#N/A,FALSE,"historicIS";"ratios",#N/A,FALSE,"ratios"}</definedName>
    <definedName name="пропоп">[0]!пропоп</definedName>
    <definedName name="пропопо">[0]!пропопо</definedName>
    <definedName name="пропорд">[0]!пропорд</definedName>
    <definedName name="пропуск" hidden="1">#REF!</definedName>
    <definedName name="проспект" hidden="1">{"assets",#N/A,FALSE,"historicBS";"liab",#N/A,FALSE,"historicBS";"is",#N/A,FALSE,"historicIS";"ratios",#N/A,FALSE,"ratios"}</definedName>
    <definedName name="протечка">#REF!</definedName>
    <definedName name="проц_КФВ">[4]Поступления!$D$44</definedName>
    <definedName name="Проц1">[4]Лист1!#REF!</definedName>
    <definedName name="процент">#REF!</definedName>
    <definedName name="Процент_реализ">#REF!</definedName>
    <definedName name="Процент_себестомость">[129]Служебный!$J$7</definedName>
    <definedName name="Проценты">#REF!</definedName>
    <definedName name="ПроцИзПр1">[4]Лист1!#REF!</definedName>
    <definedName name="процкред">[4]Лист1!$B$27</definedName>
    <definedName name="процфин">[4]Лист1!$G$37</definedName>
    <definedName name="Проч_выб7">[4]Лист1!#REF!</definedName>
    <definedName name="проч_инв">[4]Лист1!#REF!</definedName>
    <definedName name="проч_пост_фин">[4]Лист1!#REF!</definedName>
    <definedName name="Прочдох_всего">#REF!</definedName>
    <definedName name="ПрочДох1">[4]Лист1!#REF!</definedName>
    <definedName name="Прочее" hidden="1">{#N/A,#N/A,TRUE,"Буржуям"}</definedName>
    <definedName name="ПРОЧИЕ">#REF!</definedName>
    <definedName name="Прочие_материалы">#REF!</definedName>
    <definedName name="ПрочР1">[4]Лист1!#REF!</definedName>
    <definedName name="Прочрасх_всего">#REF!</definedName>
    <definedName name="прп">'[89]Метод остатка'!#REF!</definedName>
    <definedName name="прПер">#REF!</definedName>
    <definedName name="прпрпр" hidden="1">{"glc1",#N/A,FALSE,"GLC";"glc2",#N/A,FALSE,"GLC";"glc3",#N/A,FALSE,"GLC";"glc4",#N/A,FALSE,"GLC";"glc5",#N/A,FALSE,"GLC"}</definedName>
    <definedName name="прпрпрпрппр" hidden="1">{"glc1",#N/A,FALSE,"GLC";"glc2",#N/A,FALSE,"GLC";"glc3",#N/A,FALSE,"GLC";"glc4",#N/A,FALSE,"GLC";"glc5",#N/A,FALSE,"GLC"}</definedName>
    <definedName name="прпрпрпрпрпрпрпрпрпрр" hidden="1">{"glc1",#N/A,FALSE,"GLC";"glc2",#N/A,FALSE,"GLC";"glc3",#N/A,FALSE,"GLC";"glc4",#N/A,FALSE,"GLC";"glc5",#N/A,FALSE,"GLC"}</definedName>
    <definedName name="прро" hidden="1">{#N/A,#N/A,TRUE,"Буржуям"}</definedName>
    <definedName name="пррпрпрпрпр" hidden="1">{"glc1",#N/A,FALSE,"GLC";"glc2",#N/A,FALSE,"GLC";"glc3",#N/A,FALSE,"GLC";"glc4",#N/A,FALSE,"GLC";"glc5",#N/A,FALSE,"GLC"}</definedName>
    <definedName name="прСоор">#REF!</definedName>
    <definedName name="прТр">#REF!</definedName>
    <definedName name="пршгр">[0]!пршгр</definedName>
    <definedName name="прывапрва">[0]!прывапрва</definedName>
    <definedName name="прывп">[0]!прывп</definedName>
    <definedName name="прыкерыкае">[0]!прыкерыкае</definedName>
    <definedName name="прьь" hidden="1">{"'Prices'!$A$4:$J$27"}</definedName>
    <definedName name="пс" hidden="1">{"glc1",#N/A,FALSE,"GLC";"glc2",#N/A,FALSE,"GLC";"glc3",#N/A,FALSE,"GLC";"glc4",#N/A,FALSE,"GLC";"glc5",#N/A,FALSE,"GLC"}</definedName>
    <definedName name="пспр">[0]!пспр</definedName>
    <definedName name="птица">[4]Хотмыжск!#REF!</definedName>
    <definedName name="пуркр">[0]!пуркр</definedName>
    <definedName name="пфвапва">[0]!пфвапва</definedName>
    <definedName name="пцыуп">[0]!пцыуп</definedName>
    <definedName name="пш_3_отг">[4]Лист1!$F$189</definedName>
    <definedName name="пш_3_отг_ДС">[4]Лист1!$M$189</definedName>
    <definedName name="пш_3кл">[4]Лист1!$E$51</definedName>
    <definedName name="пш_3кл_дол">[4]Лист1!$H$51</definedName>
    <definedName name="пш_3кл_дол_факт">[4]Лист1!#REF!</definedName>
    <definedName name="пш_3кл_ДС_по">[4]Лист1!$F$134</definedName>
    <definedName name="пш_3кл_ДС_факт">[4]Лист1!$G$134</definedName>
    <definedName name="пш_3кл_руб">[4]Лист1!$G$51</definedName>
    <definedName name="пш_3кл_руб_по">[4]Лист1!$I$52</definedName>
    <definedName name="пш_3кл_руб_факт">[4]Лист1!$J$52</definedName>
    <definedName name="пш_3кл_тонн_по">[4]Лист1!$F$52</definedName>
    <definedName name="пш_3кл_тонн_факт">[4]Лист1!$G$52</definedName>
    <definedName name="пш_3кл_факт">[4]Лист1!#REF!</definedName>
    <definedName name="Пш_4">[4]Лист1!$W$89</definedName>
    <definedName name="пш_4кл">[4]Лист1!$E$53</definedName>
    <definedName name="пш_4кл_дол">[4]Лист1!$H$53</definedName>
    <definedName name="пш_4кл_дол_факт">[4]Лист1!#REF!</definedName>
    <definedName name="пш_4кл_ДС_по">[4]Лист1!$F$135</definedName>
    <definedName name="пш_4кл_ДС_факт">[4]Лист1!$G$135</definedName>
    <definedName name="пш_4кл_руб">[4]Лист1!$G$53</definedName>
    <definedName name="пш_4кл_руб_по">[4]Лист1!$I$53</definedName>
    <definedName name="пш_4кл_руб_факт">[4]Лист1!$J$53</definedName>
    <definedName name="пш_4кл_тонн_по">[4]Лист1!$F$53</definedName>
    <definedName name="пш_4кл_тонн_факт">[4]Лист1!$G$53</definedName>
    <definedName name="пш_4кл_факт">[4]Лист1!#REF!</definedName>
    <definedName name="пш_5">[4]Лист1!$U$89</definedName>
    <definedName name="пш_5кл">[4]Лист1!$E$54</definedName>
    <definedName name="пш_5кл_дол">[4]Лист1!$H$54</definedName>
    <definedName name="пш_5кл_дол_факт">[4]Лист1!#REF!</definedName>
    <definedName name="пш_5кл_руб">[4]Лист1!$G$54</definedName>
    <definedName name="пш_5кл_руб_факт">[4]Лист1!#REF!</definedName>
    <definedName name="пш_5кл_факт">[4]Лист1!#REF!</definedName>
    <definedName name="Пш_ф">[4]Лист1!$S$89</definedName>
    <definedName name="пш_фур_ДС_по">[4]Лист1!$F$136</definedName>
    <definedName name="пш_фур_ДС_факт">[4]Лист1!$G$136</definedName>
    <definedName name="пш_фур_отг">[4]Лист1!$F$190</definedName>
    <definedName name="пш_фур_отг_ДС">[4]Лист1!$M$190</definedName>
    <definedName name="пш_фур_руб_по">[4]Лист1!$I$54</definedName>
    <definedName name="пш_фур_руб_факт">[4]Лист1!$J$54</definedName>
    <definedName name="пш_фур_тонн_по">[4]Лист1!$F$54</definedName>
    <definedName name="пш_фур_тонн_факт">[4]Лист1!$G$54</definedName>
    <definedName name="пш3клПО">[4]Лист1!$M$52</definedName>
    <definedName name="пш3клФ">[4]Лист1!$N$52</definedName>
    <definedName name="пш4клДС">[4]Лист1!$M$53</definedName>
    <definedName name="пш4клФ">[4]Лист1!$N$53</definedName>
    <definedName name="Пшено_своб_Бобров">[4]Лист1!$I$170</definedName>
    <definedName name="Пшено_своб_Ставр">[4]Лист1!$I$172</definedName>
    <definedName name="Пшн">'[4]Фин. вложения'!$D$58</definedName>
    <definedName name="Пшн_4">'[4]Фин. вложения'!$H$58</definedName>
    <definedName name="Пшн_5">'[4]Фин. вложения'!$F$58</definedName>
    <definedName name="пшфПО">[4]Лист1!$M$54</definedName>
    <definedName name="пшфФ">[4]Лист1!$N$54</definedName>
    <definedName name="пыты">[0]!пыты</definedName>
    <definedName name="пыукрп">[0]!пыукрп</definedName>
    <definedName name="пьл">[0]!пьл</definedName>
    <definedName name="пьораоа">[0]!пьораоа</definedName>
    <definedName name="пьраб">[0]!пьраб</definedName>
    <definedName name="р">#REF!</definedName>
    <definedName name="Р_внепроизв">#REF!</definedName>
    <definedName name="Р_доп">#REF!</definedName>
    <definedName name="Р_общехоз">#REF!</definedName>
    <definedName name="Р_план">#REF!</definedName>
    <definedName name="Р_транспорт">#REF!</definedName>
    <definedName name="Р_факт">#REF!</definedName>
    <definedName name="Р_хранение">#REF!</definedName>
    <definedName name="р0ъх">[0]!р0ъх</definedName>
    <definedName name="р1">#REF!</definedName>
    <definedName name="р2">#REF!</definedName>
    <definedName name="р3">#REF!</definedName>
    <definedName name="РАБОТА">'[56]см. ЦЕНЫ '!#REF!</definedName>
    <definedName name="работа_БАНК">#REF!</definedName>
    <definedName name="работа_ЖД">#REF!</definedName>
    <definedName name="работа_НЕЖИЛ">#REF!</definedName>
    <definedName name="равы" hidden="1">{"glc1",#N/A,FALSE,"GLC";"glc2",#N/A,FALSE,"GLC";"glc3",#N/A,FALSE,"GLC";"glc4",#N/A,FALSE,"GLC";"glc5",#N/A,FALSE,"GLC"}</definedName>
    <definedName name="раз1">#REF!</definedName>
    <definedName name="раз2">#REF!</definedName>
    <definedName name="раз3">#REF!</definedName>
    <definedName name="Разборка_полов_с_лагами_и_дощатым_основанием">#REF!</definedName>
    <definedName name="разборки">#REF!</definedName>
    <definedName name="разборкистен">#REF!</definedName>
    <definedName name="раовлпр">#REF!</definedName>
    <definedName name="рапр">[0]!рапр</definedName>
    <definedName name="рар">[0]!рар</definedName>
    <definedName name="рарвар">[0]!рарвар</definedName>
    <definedName name="раргено">[0]!раргено</definedName>
    <definedName name="Рас_т">#REF!</definedName>
    <definedName name="рассрочка">[92]ВводД!$E$1</definedName>
    <definedName name="расфивровка" hidden="1">{#N/A,#N/A,TRUE,"Буржуям"}</definedName>
    <definedName name="Расх_внепр">#REF!</definedName>
    <definedName name="Расх_доп">#REF!</definedName>
    <definedName name="расход" hidden="1">{#N/A,#N/A,TRUE,"Буржуям"}</definedName>
    <definedName name="Расч">#REF!</definedName>
    <definedName name="Расчет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рваарв">[0]!рваарв</definedName>
    <definedName name="рваперво">[0]!рваперво</definedName>
    <definedName name="рварар">[0]!рварар</definedName>
    <definedName name="рвкеьо">[0]!рвкеьо</definedName>
    <definedName name="рво">[0]!рво</definedName>
    <definedName name="рглшпгдщнгрогшено">[0]!рглшпгдщнгрогшено</definedName>
    <definedName name="рдлнглщгш">[0]!рдлнглщгш</definedName>
    <definedName name="Реализ_плановая">#REF!</definedName>
    <definedName name="Реализ_факт">#REF!</definedName>
    <definedName name="Реализация">#REF!</definedName>
    <definedName name="Реализация_Сумм">#REF!</definedName>
    <definedName name="рег">[118]списки!$E$21</definedName>
    <definedName name="рез">#REF!</definedName>
    <definedName name="Резерв">#REF!</definedName>
    <definedName name="Результат_Доходный" hidden="1">{"glc1",#N/A,FALSE,"GLC";"glc2",#N/A,FALSE,"GLC";"glc3",#N/A,FALSE,"GLC";"glc4",#N/A,FALSE,"GLC";"glc5",#N/A,FALSE,"GLC"}</definedName>
    <definedName name="ремраб">#REF!</definedName>
    <definedName name="Рента">#REF!</definedName>
    <definedName name="Рентаб_сред">#REF!</definedName>
    <definedName name="Рентпродаж_всего">#REF!</definedName>
    <definedName name="решетки">#REF!</definedName>
    <definedName name="Рж">[4]б!$H$44</definedName>
    <definedName name="ржа">'[4]Фин. вложения'!$N$58</definedName>
    <definedName name="рз">[4]Лист1!$D$64</definedName>
    <definedName name="рз_1">#REF!</definedName>
    <definedName name="рз_зернсм">#REF!</definedName>
    <definedName name="РЗ_кред">[4]Лист1!$F$17</definedName>
    <definedName name="РЗ_пл">[4]Лист1!#REF!</definedName>
    <definedName name="РЗ_пл_пост">[4]Лист1!#REF!</definedName>
    <definedName name="РЗ_ПОСТ_ТЕК_ВСЕГО">[4]Лист1!$K$12</definedName>
    <definedName name="РЗ_рег_выб">[4]Лист1!$K$128</definedName>
    <definedName name="РЗ_рег_пост">[4]Лист1!$K$26</definedName>
    <definedName name="РЗ_справ">#REF!</definedName>
    <definedName name="РЗ_тек">[4]Лист1!$K$134</definedName>
    <definedName name="РЗ_тек_зак">[4]Лист1!$K$135</definedName>
    <definedName name="РЗ_тек_пост">[4]Лист1!$K$27</definedName>
    <definedName name="РЗК_хранение">[4]СКР!$D$24</definedName>
    <definedName name="РЗпр">[4]Лист1!#REF!</definedName>
    <definedName name="рис">[4]Лист1!$E$89</definedName>
    <definedName name="Рис_с">'[4]Фин. вложения'!$D$36</definedName>
    <definedName name="ркарка">[0]!ркарка</definedName>
    <definedName name="ркецкее">[0]!ркецкее</definedName>
    <definedName name="ркр">[0]!ркр</definedName>
    <definedName name="рленген">[0]!рленген</definedName>
    <definedName name="рлоло">[0]!рлоло</definedName>
    <definedName name="рлшрпбдопв">#REF!</definedName>
    <definedName name="рнвуегу">[0]!рнвуегу</definedName>
    <definedName name="рнен">[0]!рнен</definedName>
    <definedName name="рнкекв">[0]!рнкекв</definedName>
    <definedName name="рнкенкнр">[0]!рнкенкнр</definedName>
    <definedName name="рнкорекг">[0]!рнкорекг</definedName>
    <definedName name="рнкпрар">[0]!рнкпрар</definedName>
    <definedName name="рнш">[0]!рнш</definedName>
    <definedName name="рныкее">[0]!рныкее</definedName>
    <definedName name="рныкнкн">[0]!рныкнкн</definedName>
    <definedName name="РО" hidden="1">#REF!</definedName>
    <definedName name="роа">#REF!</definedName>
    <definedName name="ровекеекцу">[0]!ровекеекцу</definedName>
    <definedName name="рог">[0]!рог</definedName>
    <definedName name="родланшдан">[0]!родланшдан</definedName>
    <definedName name="рожро">#REF!</definedName>
    <definedName name="рожь">[4]Лист1!$Y$89</definedName>
    <definedName name="розетки">#REF!</definedName>
    <definedName name="рок">[94]ЛитБ!$G$351</definedName>
    <definedName name="рол">#REF!</definedName>
    <definedName name="ролт">[0]!ролт</definedName>
    <definedName name="роопоп">[0]!роопоп</definedName>
    <definedName name="ропавл" hidden="1">{#N/A,#N/A,FALSE,"Aging Summary";#N/A,#N/A,FALSE,"Ratio Analysis";#N/A,#N/A,FALSE,"Test 120 Day Accts";#N/A,#N/A,FALSE,"Tickmarks"}</definedName>
    <definedName name="ропарооа">[0]!ропарооа</definedName>
    <definedName name="ропеопо">[0]!ропеопо</definedName>
    <definedName name="рорл">[0]!рорл</definedName>
    <definedName name="роро">#REF!</definedName>
    <definedName name="роророр" hidden="1">#REF!</definedName>
    <definedName name="роророрждлв" hidden="1">{#N/A,#N/A,FALSE,"Aging Summary";#N/A,#N/A,FALSE,"Ratio Analysis";#N/A,#N/A,FALSE,"Test 120 Day Accts";#N/A,#N/A,FALSE,"Tickmarks"}</definedName>
    <definedName name="роророророр" hidden="1">{"glc1",#N/A,FALSE,"GLC";"glc2",#N/A,FALSE,"GLC";"glc3",#N/A,FALSE,"GLC";"glc4",#N/A,FALSE,"GLC";"glc5",#N/A,FALSE,"GLC"}</definedName>
    <definedName name="ророророророрждл" hidden="1">{"glc1",#N/A,FALSE,"GLC";"glc2",#N/A,FALSE,"GLC";"glc3",#N/A,FALSE,"GLC";"glc4",#N/A,FALSE,"GLC";"glc5",#N/A,FALSE,"GLC"}</definedName>
    <definedName name="ророророрро" hidden="1">{"glc1",#N/A,FALSE,"GLC";"glc2",#N/A,FALSE,"GLC";"glc3",#N/A,FALSE,"GLC";"glc4",#N/A,FALSE,"GLC";"glc5",#N/A,FALSE,"GLC"}</definedName>
    <definedName name="рорпио">[0]!рорпио</definedName>
    <definedName name="рост">#REF!</definedName>
    <definedName name="Рост1">#REF!</definedName>
    <definedName name="рост2" hidden="1">{"glc1",#N/A,FALSE,"GLC";"glc2",#N/A,FALSE,"GLC";"glc3",#N/A,FALSE,"GLC";"glc4",#N/A,FALSE,"GLC";"glc5",#N/A,FALSE,"GLC"}</definedName>
    <definedName name="Рост3">#REF!</definedName>
    <definedName name="Ростов_пш_3">[4]Лист1!$K$8</definedName>
    <definedName name="Ростов_пш_3_неопл">[4]Лист1!$L$8</definedName>
    <definedName name="Ростов_пш_3_своб">[4]Лист1!$I$8</definedName>
    <definedName name="Ростов_пш_4">[4]Лист1!$K$48</definedName>
    <definedName name="Ростов_пш_4_неопл">[4]Лист1!$L$48</definedName>
    <definedName name="Ростов_пш_4_св">[4]Лист1!$I$48</definedName>
    <definedName name="Ростов_пш_4_своб">[4]Лист1!$I$48</definedName>
    <definedName name="рошх">[0]!рошх</definedName>
    <definedName name="рпаап" hidden="1">[84]MAIN!#REF!</definedName>
    <definedName name="рпавнннн" hidden="1">{#N/A,#N/A,FALSE,"Aging Summary";#N/A,#N/A,FALSE,"Ratio Analysis";#N/A,#N/A,FALSE,"Test 120 Day Accts";#N/A,#N/A,FALSE,"Tickmarks"}</definedName>
    <definedName name="рпавф" hidden="1">{"glc1",#N/A,FALSE,"GLC";"glc2",#N/A,FALSE,"GLC";"glc3",#N/A,FALSE,"GLC";"glc4",#N/A,FALSE,"GLC";"glc5",#N/A,FALSE,"GLC"}</definedName>
    <definedName name="рпвак" hidden="1">{"glc1",#N/A,FALSE,"GLC";"glc2",#N/A,FALSE,"GLC";"glc3",#N/A,FALSE,"GLC";"glc4",#N/A,FALSE,"GLC";"glc5",#N/A,FALSE,"GLC"}</definedName>
    <definedName name="рпгнппнм">#REF!</definedName>
    <definedName name="рпк">[4]Хотмыжск!#REF!</definedName>
    <definedName name="РПК_кредиторка">[4]СКР!$D$27</definedName>
    <definedName name="РПК_пл">[4]Лист1!#REF!</definedName>
    <definedName name="РПК_пл_зак">[4]Лист1!#REF!</definedName>
    <definedName name="РПК_пл_пост">[4]Лист1!#REF!</definedName>
    <definedName name="РПК_тек">[4]Лист1!$K$173</definedName>
    <definedName name="РПК_тек_зак">[4]Лист1!$K$193</definedName>
    <definedName name="РПК_тек_пост">[4]Лист1!$K$50</definedName>
    <definedName name="РПК_хранение">[4]СКР!$D$37</definedName>
    <definedName name="рпк1">[4]Лист1!$I$11</definedName>
    <definedName name="рпк82">[4]Лист1!$K$11</definedName>
    <definedName name="рпк83">[4]Лист1!$J$11</definedName>
    <definedName name="РПКпр">[4]Лист1!$AO$117</definedName>
    <definedName name="рплапра">[0]!рплапра</definedName>
    <definedName name="рплд" hidden="1">{"'9'!$A$1:$S$99"}</definedName>
    <definedName name="рпра" hidden="1">{"glc1",#N/A,FALSE,"GLC";"glc2",#N/A,FALSE,"GLC";"glc3",#N/A,FALSE,"GLC";"glc4",#N/A,FALSE,"GLC";"glc5",#N/A,FALSE,"GLC"}</definedName>
    <definedName name="рпрпрпрпрпр" hidden="1">{"glc1",#N/A,FALSE,"GLC";"glc2",#N/A,FALSE,"GLC";"glc3",#N/A,FALSE,"GLC";"glc4",#N/A,FALSE,"GLC";"glc5",#N/A,FALSE,"GLC"}</definedName>
    <definedName name="рр">[169]Начало!A1</definedName>
    <definedName name="ррр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рррр" hidden="1">{#VALUE!,#N/A,TRUE,0}</definedName>
    <definedName name="рск">[4]Лист1!$G$64</definedName>
    <definedName name="РСК_авансы_уплаченные">[4]Лист1!#REF!</definedName>
    <definedName name="рск_воз">#REF!</definedName>
    <definedName name="РСК_пл">[4]Лист1!#REF!</definedName>
    <definedName name="РСК_пл_зак">[4]Лист1!#REF!</definedName>
    <definedName name="РСК_пл_пост">[4]Лист1!#REF!</definedName>
    <definedName name="РСК_тек">[4]Лист1!$K$136</definedName>
    <definedName name="РСК_тек_зак">[4]Лист1!$K$172</definedName>
    <definedName name="РСК_тек_пост">[4]Лист1!$K$28</definedName>
    <definedName name="РСК_хранение">[4]Лист1!$D$58</definedName>
    <definedName name="РСК_член">#REF!</definedName>
    <definedName name="РСКпр">[4]Лист1!$AO$108</definedName>
    <definedName name="рубильники">#REF!</definedName>
    <definedName name="рх">[0]!рх</definedName>
    <definedName name="РЦ">[4]Лист1!$S$64</definedName>
    <definedName name="рш">[0]!рш</definedName>
    <definedName name="ршъ">[0]!ршъ</definedName>
    <definedName name="рыапыа">[0]!рыапыа</definedName>
    <definedName name="рыарыары">[0]!рыарыары</definedName>
    <definedName name="рыарыва">[0]!рыарыва</definedName>
    <definedName name="рывр">[0]!рывр</definedName>
    <definedName name="рыври">[0]!рыври</definedName>
    <definedName name="рыночная">[0]!рыночная</definedName>
    <definedName name="Рыночный">#REF!</definedName>
    <definedName name="рырава">[0]!рырава</definedName>
    <definedName name="рьврв">[0]!рьврв</definedName>
    <definedName name="рьрь" hidden="1">{"'Prices'!$A$4:$J$27"}</definedName>
    <definedName name="с" hidden="1">{"'РП (2)'!$A$5:$S$150"}</definedName>
    <definedName name="с_3кл">[4]Лист1!$L$21</definedName>
    <definedName name="с_гов">[4]Лист1!$M$11</definedName>
    <definedName name="С_дата">#REF!</definedName>
    <definedName name="С_материал_Сумм">#REF!</definedName>
    <definedName name="с_мр">[4]Лист1!$L$23</definedName>
    <definedName name="с_под">[4]Лист1!$L$26</definedName>
    <definedName name="С_полная">#REF!</definedName>
    <definedName name="С_производ">#REF!</definedName>
    <definedName name="с_пф">[4]Лист1!$L$19</definedName>
    <definedName name="с_яч">[4]Лист1!$L$20</definedName>
    <definedName name="с1">[4]Лист1!$V$232</definedName>
    <definedName name="с17">[170]затр_подх!$A$16</definedName>
    <definedName name="с2">[4]Лист1!$U$243</definedName>
    <definedName name="са" hidden="1">{#N/A,#N/A,TRUE,"Буржуям"}</definedName>
    <definedName name="Садко" hidden="1">{"'интерфейс'!$J$31:$M$43"}</definedName>
    <definedName name="Санофи">[4]Лист1!$E$17</definedName>
    <definedName name="сантехника">#REF!</definedName>
    <definedName name="САНТЕХНИЧЕСКИЕ">#REF!</definedName>
    <definedName name="сах">[4]Лист1!$T$230</definedName>
    <definedName name="сахар">[4]Лист1!$C$68</definedName>
    <definedName name="сахар_внутр_перемещ">[4]Лист1!$V$56:$V$165</definedName>
    <definedName name="сахар_внутр_перемещ_4_5">[4]Лист1!$V$103:$V$165</definedName>
    <definedName name="сахар_выбытие">[4]Лист1!$T$56:$T$165</definedName>
    <definedName name="сахар_выбытие_4_5">[4]Лист1!$T$103:$T$165</definedName>
    <definedName name="сахар_корр">[4]Лист1!$X$56:$X$165</definedName>
    <definedName name="сахар_корр_1_3">[4]Лист1!$X$56:$X$102</definedName>
    <definedName name="сахар_корр_4_5">[4]Лист1!$X$103:$X$165</definedName>
    <definedName name="сахар_поступл">[4]Лист1!$R$56:$R$165</definedName>
    <definedName name="сахар_поступл_4_5">[4]Лист1!$R$103:$R$165</definedName>
    <definedName name="Сахар_сыр_путь">[4]Лист1!$G$75</definedName>
    <definedName name="саша" hidden="1">'[73]пр-во'!$X$11</definedName>
    <definedName name="Свб">[4]Лист1!$N$89</definedName>
    <definedName name="Свекла">[4]Отгрузка!$E$49</definedName>
    <definedName name="Свекла_дол">[4]Лист1!$F$13</definedName>
    <definedName name="Свекла_НАСИС">[4]Лист1!$F$23</definedName>
    <definedName name="свекла04">[4]Лист1!$F$60</definedName>
    <definedName name="светильники">#REF!</definedName>
    <definedName name="своб.ст.">#REF!</definedName>
    <definedName name="свобод.встр.">#REF!</definedName>
    <definedName name="свобод.жил.">[112]бог!#REF!</definedName>
    <definedName name="свобод.пл.">'[112]каскад,5'!#REF!</definedName>
    <definedName name="свобод.площ.">[112]бог!#REF!</definedName>
    <definedName name="сводн.площ.">#REF!</definedName>
    <definedName name="Сводный_график_по_Мосмева">'[143]Оплата по графикам'!$L$6</definedName>
    <definedName name="свсахар">[4]Лист1!$M$89</definedName>
    <definedName name="свсв" hidden="1">{#N/A,#N/A,FALSE,"Virgin Flightdeck"}</definedName>
    <definedName name="СвТ">[4]Лист1!$F$89</definedName>
    <definedName name="связи" hidden="1">{#N/A,#N/A,TRUE,"Буржуям"}</definedName>
    <definedName name="сгб" hidden="1">{"NWN_Q1810",#N/A,FALSE,"Q1810_1.V";"NWN_Q1412",#N/A,FALSE,"Q1412_1"}</definedName>
    <definedName name="Себестоимость">#REF!</definedName>
    <definedName name="Себестоимость_Всего">#REF!</definedName>
    <definedName name="сейм">'[4]Хран сах '!#REF!</definedName>
    <definedName name="Сейм_02">[4]Лист1!#REF!</definedName>
    <definedName name="Сейм_03">[4]Лист1!#REF!</definedName>
    <definedName name="Сейм_зона_02">[4]Лист1!#REF!</definedName>
    <definedName name="Сеймагр_03">[4]Лист1!#REF!</definedName>
    <definedName name="Сеймагро_02">[4]Лист1!#REF!</definedName>
    <definedName name="сем">[4]Лист1!$J$68</definedName>
    <definedName name="семена">[4]Лист1!#REF!</definedName>
    <definedName name="семена_дол">[4]Лист1!#REF!</definedName>
    <definedName name="семена_дол_факт">[4]Лист1!#REF!</definedName>
    <definedName name="семена_руб">[4]Лист1!#REF!</definedName>
    <definedName name="семена_руб_факт">[4]Лист1!#REF!</definedName>
    <definedName name="семена_факт">[4]Лист1!#REF!</definedName>
    <definedName name="сент03гр">#REF!</definedName>
    <definedName name="сент03руб.">#REF!</definedName>
    <definedName name="сент03у.е.">#REF!</definedName>
    <definedName name="сент04гр">#REF!</definedName>
    <definedName name="сент04у.е.">#REF!</definedName>
    <definedName name="сентябрь" hidden="1">{#N/A,#N/A,TRUE,"Буржуям"}</definedName>
    <definedName name="сер.1оч.руб.">'[92]Гр+'!#REF!</definedName>
    <definedName name="сер.1оч.у.е.">'[92]Гр+'!#REF!</definedName>
    <definedName name="сер.2оч.руб.">'[92]Гр+'!#REF!</definedName>
    <definedName name="сер.2оч.у.е.">'[92]Гр+'!#REF!</definedName>
    <definedName name="сер31.руб.">'[92]Гр+'!#REF!</definedName>
    <definedName name="сер31.у.е.">'[92]Гр+'!#REF!</definedName>
    <definedName name="Серная_кислота">#REF!</definedName>
    <definedName name="Сероводород_на_соб._нужды__">#REF!</definedName>
    <definedName name="си">[152]Описание!$C$3:$AW$32</definedName>
    <definedName name="сигнализация">#REF!</definedName>
    <definedName name="ск4">'[146]общие данные'!$F$3</definedName>
    <definedName name="ск62">'[146]общие данные'!$G$3</definedName>
    <definedName name="ск79">'[146]общие данные'!$H$3</definedName>
    <definedName name="ск80б">'[146]общие данные'!$K$3</definedName>
    <definedName name="ск80к">'[146]общие данные'!$I$3</definedName>
    <definedName name="скид">#REF!</definedName>
    <definedName name="скидка">[92]ВводД!$M$1</definedName>
    <definedName name="скпл">'[146]общие данные'!$L$3</definedName>
    <definedName name="скуцс">'[4]за месяц'!#REF!</definedName>
    <definedName name="слон" hidden="1">{#N/A,#N/A,TRUE,"Буржуям"}</definedName>
    <definedName name="см1_СТЕНЫ">'[171]СМ.ВЫШЕ НОЛЯ'!#REF!</definedName>
    <definedName name="см3_КРОВЛЯ">'[171]СМ.ВЫШЕ НОЛЯ'!#REF!</definedName>
    <definedName name="смежные">#REF!</definedName>
    <definedName name="смета" hidden="1">#REF!,#REF!,#REF!,#REF!,#REF!,#REF!,#REF!</definedName>
    <definedName name="Смета_2" hidden="1">{"NWN_Q1810",#N/A,FALSE,"Q1810_1.V";"NWN_Q1412",#N/A,FALSE,"Q1412_1"}</definedName>
    <definedName name="Смета_21" hidden="1">{"NWN_Q1810",#N/A,FALSE,"Q1810_1.V";"NWN_Q1412",#N/A,FALSE,"Q1412_1"}</definedName>
    <definedName name="Смета_скр">#REF!</definedName>
    <definedName name="Смета_скр1">#REF!</definedName>
    <definedName name="смета1">'[171]СМ.ВЫШЕ НОЛЯ'!#REF!</definedName>
    <definedName name="смета2">#REF!</definedName>
    <definedName name="смета3">#REF!</definedName>
    <definedName name="смета3_КРЫША">'[171]СМ.ВЫШЕ НОЛЯ'!#REF!</definedName>
    <definedName name="смета4">#REF!</definedName>
    <definedName name="смета5">#REF!</definedName>
    <definedName name="сму">#REF!</definedName>
    <definedName name="снадя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СНП" hidden="1">#REF!</definedName>
    <definedName name="СобстНефть">93*3</definedName>
    <definedName name="Совокуп_Износ">#REF!</definedName>
    <definedName name="Сог">#REF!</definedName>
    <definedName name="сог1">#REF!</definedName>
    <definedName name="согласование">#REF!</definedName>
    <definedName name="содерж" hidden="1">{#N/A,#N/A,TRUE,"Буржуям"}</definedName>
    <definedName name="Соки">'[4]Фин. вложения'!$L$36</definedName>
    <definedName name="СокращОПФ">[172]Словари!$A$5:$A$121</definedName>
    <definedName name="солнце">'[4]Фин. вложения'!$R$58</definedName>
    <definedName name="сон" hidden="1">{#N/A,#N/A,TRUE,"Буржуям"}</definedName>
    <definedName name="Соня" hidden="1">{#N/A,#N/A,TRUE,"Буржуям"}</definedName>
    <definedName name="Соотн_собст_заемн_всего">#REF!</definedName>
    <definedName name="Сопровождение">[4]Лист1!#REF!</definedName>
    <definedName name="сор">#REF!</definedName>
    <definedName name="состояниедома">#REF!</definedName>
    <definedName name="сотр_уфа">#REF!</definedName>
    <definedName name="соц.сфера" hidden="1">{#N/A,#N/A,TRUE,"Буржуям"}</definedName>
    <definedName name="соцбыт">#REF!</definedName>
    <definedName name="Соцвыплаты">[173]Лист1!$C$14</definedName>
    <definedName name="соцсфера" hidden="1">{#N/A,#N/A,TRUE,"Буржуям"}</definedName>
    <definedName name="сп" hidden="1">{#N/A,#N/A,FALSE,"Aging Summary";#N/A,#N/A,FALSE,"Ratio Analysis";#N/A,#N/A,FALSE,"Test 120 Day Accts";#N/A,#N/A,FALSE,"Tickmarks"}</definedName>
    <definedName name="спис_с_хр">[4]Лист1!$V$230</definedName>
    <definedName name="СписокТЭП">INDEX('[174] ТЭП '!$A:$A,2):INDEX('[174] ТЭП '!$A:$A,COUNTA('[174] ТЭП '!$A:$A)+1)</definedName>
    <definedName name="спонсор" hidden="1">{#N/A,#N/A,TRUE,"Буржуям"}</definedName>
    <definedName name="ср1">#REF!</definedName>
    <definedName name="ср2">#REF!</definedName>
    <definedName name="ср3">#REF!</definedName>
    <definedName name="Ср4">[99]Параметры!$B$24</definedName>
    <definedName name="Сравн" hidden="1">{"assets",#N/A,FALSE,"historicBS";"liab",#N/A,FALSE,"historicBS";"is",#N/A,FALSE,"historicIS";"ratios",#N/A,FALSE,"ratios"}</definedName>
    <definedName name="СрД">'[118]исходные данные'!$D$6</definedName>
    <definedName name="Срок">#REF!</definedName>
    <definedName name="СрЧ1">[4]Лист1!#REF!</definedName>
    <definedName name="Срывнит" hidden="1">#REF!</definedName>
    <definedName name="сс">#REF!</definedName>
    <definedName name="сс_жг_Т">[4]Лист1!$AT$7</definedName>
    <definedName name="сс_мел_Т">[4]Лист1!$AT$6</definedName>
    <definedName name="сс_сах_Т">[4]Лист1!$AT$3</definedName>
    <definedName name="ссссссс">#REF!</definedName>
    <definedName name="ст">'[175]ставка капитализации'!$B$7</definedName>
    <definedName name="ст1">#REF!</definedName>
    <definedName name="ст2">#REF!</definedName>
    <definedName name="ст3">#REF!</definedName>
    <definedName name="Ставка">#REF!</definedName>
    <definedName name="Ставка_аренды_земли">#REF!</definedName>
    <definedName name="Ставка_НДС">#REF!</definedName>
    <definedName name="СтавкаНДС_20">#REF!</definedName>
    <definedName name="Ставр_подс">[4]Лист1!$K$147</definedName>
    <definedName name="Ставр_подс_неопл">[4]Лист1!$L$147</definedName>
    <definedName name="Ставр_подс_своб">[4]Лист1!$I$147</definedName>
    <definedName name="Ставр_просо">[4]Лист1!$K$150</definedName>
    <definedName name="Ставр_просо_неопл">[4]Лист1!$L$150</definedName>
    <definedName name="Ставр_просо_своб">[4]Лист1!$I$150</definedName>
    <definedName name="Ставр_пш_3">[4]Лист1!$K$24</definedName>
    <definedName name="Ставр_пш_3_неопл">[4]Лист1!$L$24</definedName>
    <definedName name="Ставр_пш_3_своб">[4]Лист1!$I$24</definedName>
    <definedName name="Ставр_пш_4">[4]Лист1!$K$46</definedName>
    <definedName name="Ставр_пш_4_неопл">[4]Лист1!$L$46</definedName>
    <definedName name="Ставр_пш_4_своб">[4]Лист1!$I$46</definedName>
    <definedName name="Ставр_пш_5">[4]Лист1!$K$84</definedName>
    <definedName name="Ставр_пш_5_своб">[4]Лист1!$I$84</definedName>
    <definedName name="Ставр_пш_ф_неопл">[4]Лист1!$L$84</definedName>
    <definedName name="Ставр_ячм_неопл">[4]Лист1!$L$124</definedName>
    <definedName name="Ставр_ячм_своб">[4]Лист1!$I$124</definedName>
    <definedName name="Ставрополь_подсолнечник">[4]Лист1!$K$147</definedName>
    <definedName name="Ставрополь_ячм_своб">[4]Лист1!$I$124</definedName>
    <definedName name="Ставрополь_ячмень">[4]Лист1!$K$124</definedName>
    <definedName name="стар_инф_за_месяц">[4]Лист1!#REF!</definedName>
    <definedName name="стар_инф_ЗЕРНО">[4]Лист1!#REF!</definedName>
    <definedName name="стар_инф_общая">[4]Лист1!$AM$3:$AT$218</definedName>
    <definedName name="стар_инф_ОСТАЛ">[4]Лист1!#REF!</definedName>
    <definedName name="стар_инф_РПК">[4]Лист1!#REF!</definedName>
    <definedName name="стар_инф_САХАР">[4]Лист1!#REF!</definedName>
    <definedName name="стар_инф_УФА">[4]Лист1!#REF!</definedName>
    <definedName name="СтатусЖЦ">[162]Словари!$C$5:$C$13</definedName>
    <definedName name="статьи_Балитэкс">OFFSET([105]справочники!$A$100,0,0, COUNTA([105]справочники!$A$100:$A$120),1)</definedName>
    <definedName name="статьи_ГПБИ_GPBI">OFFSET([105]справочники!$A$83,0,0, COUNTA([105]справочники!$A$83:$A$98),1)</definedName>
    <definedName name="статьи_Лиона">OFFSET([105]справочники!$A$73,0,0, COUNTA([105]справочники!$A$73:$A$81),1)</definedName>
    <definedName name="статьи_расходов">OFFSET([105]справочники!$A$3,0,0, COUNTA([105]справочники!$A$3:$A$39),1)</definedName>
    <definedName name="Статьи_Харкона">OFFSET([105]справочники!$A$40,0,0, COUNTA([105]справочники!$A$40:$A$72),1)</definedName>
    <definedName name="статья">#REF!</definedName>
    <definedName name="СтДеп">[99]Параметры!$B$33</definedName>
    <definedName name="СтДепПетр">[145]Параметры!$B$22</definedName>
    <definedName name="СтДиск">[99]Параметры!$B$36</definedName>
    <definedName name="стены">#REF!</definedName>
    <definedName name="СТЕНЫ_ПЕРЕГОРОД">#REF!</definedName>
    <definedName name="степнова" hidden="1">{#VALUE!,#N/A,TRUE,0}</definedName>
    <definedName name="СтКр">[99]Параметры!$B$34</definedName>
    <definedName name="СтКред">[140]Параметры!$B$21</definedName>
    <definedName name="СтНПр1">[4]Лист1!#REF!</definedName>
    <definedName name="стобы">#REF!</definedName>
    <definedName name="стоим.ст.у.е.">#REF!</definedName>
    <definedName name="Стоим_замещ_здан_1969">#REF!</definedName>
    <definedName name="Стоим_замещ_здан_датуОценки">#REF!</definedName>
    <definedName name="Стоим_замещ_ЗданияНаДатуОц">#REF!</definedName>
    <definedName name="СтоимЗамещЗданБезИзноса">#REF!</definedName>
    <definedName name="Стоимость_1кубм">#REF!</definedName>
    <definedName name="Стоимость_здания">#REF!</definedName>
    <definedName name="Стоимость_земли">#REF!</definedName>
    <definedName name="Сторонние">'[165]Пр. №3 Справочник "Контрагенты"'!$H$5:$H$30</definedName>
    <definedName name="СтПродаж">[99]Параметры!$B$35</definedName>
    <definedName name="Стр" hidden="1">{#N/A,#N/A,TRUE,"Буржуям"}</definedName>
    <definedName name="СтРеф">[157]Параметры!#REF!</definedName>
    <definedName name="Строений_под_снос">#REF!</definedName>
    <definedName name="СТРОИТЕЛЬНЫЕ">#REF!</definedName>
    <definedName name="строительство">#REF!</definedName>
    <definedName name="Строка">#REF!</definedName>
    <definedName name="Структэнерг" hidden="1">{#N/A,#N/A,TRUE,"Буржуям"}</definedName>
    <definedName name="Струкэнерг" hidden="1">{#N/A,#N/A,TRUE,"Буржуям"}</definedName>
    <definedName name="Стрэнерг" hidden="1">{#N/A,#N/A,TRUE,"Буржуям"}</definedName>
    <definedName name="сттьвосстановл">#REF!</definedName>
    <definedName name="сттьсоглас">#REF!</definedName>
    <definedName name="сттьсогласования">#REF!</definedName>
    <definedName name="су">#REF!</definedName>
    <definedName name="субаренда04">[4]Лист1!$F$67</definedName>
    <definedName name="сум.закл.кв.у.е.">[112]бог!#REF!</definedName>
    <definedName name="сумм.встр.безмфтц">#REF!</definedName>
    <definedName name="сумм.встр.мфтц">#REF!</definedName>
    <definedName name="сумм.втср.безмфтц">#REF!</definedName>
    <definedName name="сумм.зак.встр.у.е.">#REF!</definedName>
    <definedName name="сумм.закл.встр.у.е.">#REF!</definedName>
    <definedName name="сумм.закл.кв.у.е.">#REF!</definedName>
    <definedName name="сумм.закл.ст.у.е.">#REF!</definedName>
    <definedName name="сумм.кв.безмфтц">#REF!</definedName>
    <definedName name="сумм.кв.мфтц">#REF!</definedName>
    <definedName name="сумм.комм.встр.">#REF!</definedName>
    <definedName name="сумм.комм.кв.">[112]бог!#REF!</definedName>
    <definedName name="Сумма">#REF!</definedName>
    <definedName name="сумма1">[100]Кредит!$A$6</definedName>
    <definedName name="суммвстр.мфтц">#REF!</definedName>
    <definedName name="сф3">#REF!</definedName>
    <definedName name="сфера" hidden="1">{#N/A,#N/A,TRUE,"Буржуям"}</definedName>
    <definedName name="СФР">[176]Лист1!$A$1:$A$6</definedName>
    <definedName name="счет" hidden="1">{#N/A,#N/A,TRUE,"Буржуям"}</definedName>
    <definedName name="счетчики">#REF!</definedName>
    <definedName name="сыр_сс">'[4]2 деньги в пути'!$H$55</definedName>
    <definedName name="сыр_сс_путь">[4]Отгрузка!$K$62</definedName>
    <definedName name="Сырец_3_завода">[4]Лист1!$H$89</definedName>
    <definedName name="Сырец_ч">[4]Лист1!$K$89</definedName>
    <definedName name="Сэ">[4]Лист1!#REF!</definedName>
    <definedName name="ся1">#REF!</definedName>
    <definedName name="ся2">#REF!</definedName>
    <definedName name="ся3">#REF!</definedName>
    <definedName name="т">#REF!</definedName>
    <definedName name="т.м.">[4]СКР!$J$2</definedName>
    <definedName name="Т_02">[4]Лист1!#REF!</definedName>
    <definedName name="т_в_п_сс">[4]Лист1!$I$71</definedName>
    <definedName name="Т_зона_02">[4]Лист1!#REF!</definedName>
    <definedName name="т1">#REF!</definedName>
    <definedName name="т2">#REF!</definedName>
    <definedName name="т3">#REF!</definedName>
    <definedName name="т3.руб.">'[92]Гр+'!#REF!</definedName>
    <definedName name="т3.у.е.">'[92]Гр+'!#REF!</definedName>
    <definedName name="т3с.руб.">'[92]Гр+'!#REF!</definedName>
    <definedName name="т3с.у.е.">'[92]Гр+'!#REF!</definedName>
    <definedName name="табл" hidden="1">{#N/A,#N/A,FALSE,"Aging Summary";#N/A,#N/A,FALSE,"Ratio Analysis";#N/A,#N/A,FALSE,"Test 120 Day Accts";#N/A,#N/A,FALSE,"Tickmarks"}</definedName>
    <definedName name="Табл_курсы_валют">#REF!</definedName>
    <definedName name="Тайм" hidden="1">{"PRINTME",#N/A,FALSE,"FINAL-10"}</definedName>
    <definedName name="талосто">'[177]Метод остатка'!#REF!</definedName>
    <definedName name="Тамбов_пш_4">[4]Лист1!$K$42</definedName>
    <definedName name="тамбов_пш_4_неопл">[4]Лист1!$L$42</definedName>
    <definedName name="Тамбов_пш_4_своб">[4]Лист1!$I$42</definedName>
    <definedName name="Тамбов_пш_5">[4]Лист1!$K$77</definedName>
    <definedName name="Тамбов_пш_5_своб">[4]Лист1!$I$77</definedName>
    <definedName name="Тамбов_пш_ф_неопл">[4]Лист1!$L$77</definedName>
    <definedName name="Тамбов_ячм_неопл">[4]Лист1!$L$104</definedName>
    <definedName name="Тамбов_ячм_своб">[4]Лист1!$I$104</definedName>
    <definedName name="Тамбов_ячмень">[4]Лист1!$K$104</definedName>
    <definedName name="танка">'[117]рын счит'!$B$3:$B$3</definedName>
    <definedName name="таня">[178]Трансформаторн!$F$8</definedName>
    <definedName name="татьяна" hidden="1">{#N/A,#N/A,TRUE,"Буржуям"}</definedName>
    <definedName name="ТБ">[4]Лист1!#REF!</definedName>
    <definedName name="тд">[4]Лист1!$AI$1</definedName>
    <definedName name="тд_1">#REF!</definedName>
    <definedName name="ТекДата_90">[4]Лист1!$S$3</definedName>
    <definedName name="Текущий">#REF!</definedName>
    <definedName name="телефон">#REF!</definedName>
    <definedName name="ТемпРостаЦены">[157]Параметры!$B$22</definedName>
    <definedName name="ТЕПЛОИЗОЛЯЦИЯ">'[56]см. ЦЕНЫ '!$B$207</definedName>
    <definedName name="теплоизоляциястен">#REF!</definedName>
    <definedName name="термостат_головка">[179]сантех...!#REF!</definedName>
    <definedName name="термостатич_головка">[179]сантех...!#REF!</definedName>
    <definedName name="Тип">#REF!</definedName>
    <definedName name="Тип_бюджета">#REF!</definedName>
    <definedName name="тип1">[100]Кредит!$E$6</definedName>
    <definedName name="типзастройки">#REF!</definedName>
    <definedName name="Типогр" hidden="1">{"NWN_Q1810",#N/A,FALSE,"Q1810_1.V";"NWN_Q1412",#N/A,FALSE,"Q1412_1"}</definedName>
    <definedName name="Тих_03">[4]Лист1!#REF!</definedName>
    <definedName name="Тихорецк_аванс">[4]Поступления!#REF!</definedName>
    <definedName name="тн">#REF!</definedName>
    <definedName name="ТНПОЗЕР">[4]Лист1!$F$59</definedName>
    <definedName name="ТНФЙЗЕН">[4]Лист1!$G$59</definedName>
    <definedName name="тня" hidden="1">{#N/A,#N/A,TRUE,"Буржуям"}</definedName>
    <definedName name="Тов_кред">[4]Лист1!$F$90</definedName>
    <definedName name="тов_рег_д">#REF!</definedName>
    <definedName name="тов_сс">[4]Лист1!$U$90</definedName>
    <definedName name="товар" hidden="1">{#N/A,#N/A,TRUE,"Буржуям"}</definedName>
    <definedName name="товары" hidden="1">{#N/A,#N/A,TRUE,"Буржуям"}</definedName>
    <definedName name="ТовОб1">[4]Лист1!#REF!</definedName>
    <definedName name="ТовРеал1">[4]Лист1!#REF!</definedName>
    <definedName name="Тол_итого">[4]Лист1!$F$4</definedName>
    <definedName name="Топливо_на_соб.нужды__">#REF!</definedName>
    <definedName name="Торг" hidden="1">{#N/A,#N/A,FALSE,"Aging Summary";#N/A,#N/A,FALSE,"Ratio Analysis";#N/A,#N/A,FALSE,"Test 120 Day Accts";#N/A,#N/A,FALSE,"Tickmarks"}</definedName>
    <definedName name="тош">[180]мса_СКЛАД!$H$30</definedName>
    <definedName name="тп">[4]Поступления!#REF!</definedName>
    <definedName name="ТП1" hidden="1">{#VALUE!,#N/A,TRUE,0}</definedName>
    <definedName name="ТПП" hidden="1">{#N/A,#N/A,TRUE,"Буржуям"}</definedName>
    <definedName name="ТПЭ">#REF!</definedName>
    <definedName name="трансойл">[181]Содержание!$J$15</definedName>
    <definedName name="транспорт">#REF!</definedName>
    <definedName name="тротуары">#REF!</definedName>
    <definedName name="трр" hidden="1">{"'Prices'!$A$4:$J$27"}</definedName>
    <definedName name="ТРУБА_МЕТАЛ">'[42]матер.(октябрь)'!#REF!</definedName>
    <definedName name="трубы">#REF!</definedName>
    <definedName name="ТРЦ_ShoppingСenter">[48]Inputs_Assumptions!$B$26</definedName>
    <definedName name="тт">#REF!</definedName>
    <definedName name="ттт">[182]предприятия!$C$2:$C$3228</definedName>
    <definedName name="тттт">#REF!</definedName>
    <definedName name="Тула_пш_5">[4]Лист1!$K$73</definedName>
    <definedName name="Тула_пш_5_своб">[4]Лист1!$I$73</definedName>
    <definedName name="Тула_пш_ф_неопл">[4]Лист1!$L$73</definedName>
    <definedName name="Тула_ячм_неопл">[4]Лист1!$L$121</definedName>
    <definedName name="Тула_ячм_своб">[4]Лист1!$I$121</definedName>
    <definedName name="Тула_ячмень">[4]Лист1!$K$121</definedName>
    <definedName name="ТЦ_К">#REF!</definedName>
    <definedName name="ТЦ_К_upper">#REF!</definedName>
    <definedName name="ТЦ_НГДО">#REF!</definedName>
    <definedName name="ТЦ_НГДО_upper">#REF!</definedName>
    <definedName name="ТЦ_НПЗ">#REF!</definedName>
    <definedName name="ТЦ_НПЗ_upper">#REF!</definedName>
    <definedName name="ТЦ_НПО">#REF!</definedName>
    <definedName name="ТЦ_НПО_upper">#REF!</definedName>
    <definedName name="ть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ТЭО" hidden="1">{"'Prices'!$A$4:$J$27"}</definedName>
    <definedName name="ТЭП">[51]П!#REF!</definedName>
    <definedName name="тю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Тятя">[59]НФИк!$A$17</definedName>
    <definedName name="у" hidden="1">[0]!у</definedName>
    <definedName name="уайца">#REF!</definedName>
    <definedName name="УБ_агро">#REF!</definedName>
    <definedName name="уб_К">#REF!</definedName>
    <definedName name="уб_НГДО">#REF!</definedName>
    <definedName name="уб_НПЗ">#REF!</definedName>
    <definedName name="уб_НПО">#REF!</definedName>
    <definedName name="уб_п">#REF!</definedName>
    <definedName name="убыток" hidden="1">{#N/A,#N/A,TRUE,"Буржуям"}</definedName>
    <definedName name="увчм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угол">#REF!</definedName>
    <definedName name="удаленность">#REF!</definedName>
    <definedName name="удобства">#REF!</definedName>
    <definedName name="удор">#REF!</definedName>
    <definedName name="УЕ">[127]НФИк!$A$17</definedName>
    <definedName name="УЕКУГИ2">[183]Начало!A1</definedName>
    <definedName name="уеуке4е" hidden="1">[29]GLC_ratios_Jun!$D$15</definedName>
    <definedName name="уЗ_НГДО">#REF!</definedName>
    <definedName name="уЗ_НПЗ">#REF!</definedName>
    <definedName name="уЗ_НПО">#REF!</definedName>
    <definedName name="уИнв_НГДО">#REF!</definedName>
    <definedName name="уИнв_НПЗ">#REF!</definedName>
    <definedName name="уИнв_НПО">#REF!</definedName>
    <definedName name="ук" hidden="1">{#N/A,#N/A,FALSE,"Aging Summary";#N/A,#N/A,FALSE,"Ratio Analysis";#N/A,#N/A,FALSE,"Test 120 Day Accts";#N/A,#N/A,FALSE,"Tickmarks"}</definedName>
    <definedName name="уК_НГДО">#REF!</definedName>
    <definedName name="уК_НПЗ">#REF!</definedName>
    <definedName name="уК_НПО">#REF!</definedName>
    <definedName name="уК1_К">#REF!</definedName>
    <definedName name="укнун4561">#REF!</definedName>
    <definedName name="укпукп" hidden="1">{"'Prices'!$A$4:$J$27"}</definedName>
    <definedName name="укрр" hidden="1">{"'Prices'!$A$4:$J$27"}</definedName>
    <definedName name="УКУКУК" hidden="1">{#N/A,#N/A,TRUE,"Буржуям"}</definedName>
    <definedName name="укыер" hidden="1">{"'Sheet1'!$A$1:$G$85"}</definedName>
    <definedName name="УПАИРУЕНР">#REF!</definedName>
    <definedName name="упаковка">[111]нормы!$E$234:$E$236</definedName>
    <definedName name="уплач_проц_кред">[4]MACRO!#REF!</definedName>
    <definedName name="Упр">[4]Лист1!$AO$134</definedName>
    <definedName name="Упррасх_всего">#REF!</definedName>
    <definedName name="Усл.своб" hidden="1">{"assets",#N/A,FALSE,"historicBS";"liab",#N/A,FALSE,"historicBS";"is",#N/A,FALSE,"historicIS";"ratios",#N/A,FALSE,"ratios"}</definedName>
    <definedName name="условия">#REF!</definedName>
    <definedName name="услуги" hidden="1">{#N/A,#N/A,TRUE,"Буржуям"}</definedName>
    <definedName name="УСОК">[184]Ниточки!$B$5</definedName>
    <definedName name="Устав" hidden="1">{#N/A,#N/A,TRUE,"Буржуям"}</definedName>
    <definedName name="уточн.ож" hidden="1">{#N/A,#N/A,TRUE,"Буржуям"}</definedName>
    <definedName name="уу" hidden="1">{#N/A,#N/A,TRUE,"Буржуям"}</definedName>
    <definedName name="уууу" hidden="1">{"'интерфейс'!$J$31:$M$43"}</definedName>
    <definedName name="ууууу" hidden="1">{"'интерфейс'!$J$31:$M$43"}</definedName>
    <definedName name="уф_тек">#REF!</definedName>
    <definedName name="уфа_изм_сс">[4]Лист1!$AV$206:$AV$218</definedName>
    <definedName name="уцацуа">#REF!</definedName>
    <definedName name="уцка3" hidden="1">{"glc1",#N/A,FALSE,"GLC";"glc2",#N/A,FALSE,"GLC";"glc3",#N/A,FALSE,"GLC";"glc4",#N/A,FALSE,"GLC";"glc5",#N/A,FALSE,"GLC"}</definedName>
    <definedName name="уцукц" hidden="1">#REF!</definedName>
    <definedName name="ф" hidden="1">{#N/A,#N/A,FALSE,"Aging Summary";#N/A,#N/A,FALSE,"Ratio Analysis";#N/A,#N/A,FALSE,"Test 120 Day Accts";#N/A,#N/A,FALSE,"Tickmarks"}</definedName>
    <definedName name="ф_ма">#REF!</definedName>
    <definedName name="Ф_янв">#REF!</definedName>
    <definedName name="Ф1">[4]Лист1!$F$20</definedName>
    <definedName name="ф1.402">#REF!</definedName>
    <definedName name="ф1.402.2">#REF!</definedName>
    <definedName name="ф1.403.1">#REF!</definedName>
    <definedName name="ф1.403.2">#REF!</definedName>
    <definedName name="ф1.403.3">#REF!</definedName>
    <definedName name="ф1.405.1">'[185]3.3.31.'!$A$17:$E$106</definedName>
    <definedName name="ф1.405.2">#REF!</definedName>
    <definedName name="ф1.407.1">#REF!</definedName>
    <definedName name="ф1.409">#REF!</definedName>
    <definedName name="ф1.411">#REF!</definedName>
    <definedName name="ф1.411.1">#REF!</definedName>
    <definedName name="ф1.411.2">#REF!</definedName>
    <definedName name="ф1.411.3">#REF!</definedName>
    <definedName name="ф1.руб.">'[92]Гр+'!#REF!</definedName>
    <definedName name="ф1.у.е.">'[92]Гр+'!#REF!</definedName>
    <definedName name="ф110">#REF!</definedName>
    <definedName name="ф120">#REF!</definedName>
    <definedName name="ф1с.руб.">'[92]Гр+'!#REF!</definedName>
    <definedName name="ф1с.у.е.">'[92]Гр+'!#REF!</definedName>
    <definedName name="Ф2">[4]Лист1!$F$33</definedName>
    <definedName name="ф2.руб.">'[92]Гр+'!#REF!</definedName>
    <definedName name="ф2.у.е.">'[92]Гр+'!#REF!</definedName>
    <definedName name="ф2с.руб.">'[92]Гр+'!#REF!</definedName>
    <definedName name="ф2с.у.е.">'[92]Гр+'!#REF!</definedName>
    <definedName name="ф3">#REF!</definedName>
    <definedName name="ф3.427">#REF!</definedName>
    <definedName name="ф3.428">#REF!</definedName>
    <definedName name="ф3.433">#REF!</definedName>
    <definedName name="ф310">#REF!</definedName>
    <definedName name="ф369">#REF!</definedName>
    <definedName name="ф3А.руб.">'[92]Гр+'!#REF!</definedName>
    <definedName name="ф3А.у.е.">'[92]Гр+'!#REF!</definedName>
    <definedName name="ф3Ас.руб.">'[92]Гр+'!#REF!</definedName>
    <definedName name="ф3Ас.у.е.">'[92]Гр+'!#REF!</definedName>
    <definedName name="ф4.руб.">'[92]Гр+'!#REF!</definedName>
    <definedName name="ф4.у.е.">'[92]Гр+'!#REF!</definedName>
    <definedName name="ф4с.руб.">'[85]Сводная ЛССМУ'!#REF!</definedName>
    <definedName name="ф4с.у.е.">'[85]Сводная ЛССМУ'!#REF!</definedName>
    <definedName name="ф5.руб.">'[85]Сводная ЛССМУ'!#REF!</definedName>
    <definedName name="ф5.у.е.">'[85]Сводная ЛССМУ'!#REF!</definedName>
    <definedName name="ф5с.руб.">'[85]Сводная ЛССМУ'!#REF!</definedName>
    <definedName name="ф5с.у.е.">'[85]Сводная ЛССМУ'!#REF!</definedName>
    <definedName name="фL220">#REF!</definedName>
    <definedName name="фL222">#REF!</definedName>
    <definedName name="фL231">#REF!</definedName>
    <definedName name="фL232">#REF!</definedName>
    <definedName name="фL234">#REF!</definedName>
    <definedName name="фL235">#REF!</definedName>
    <definedName name="фL237">#REF!</definedName>
    <definedName name="фL238">#REF!</definedName>
    <definedName name="фL240">#REF!</definedName>
    <definedName name="фL241">#REF!</definedName>
    <definedName name="фL246">#REF!</definedName>
    <definedName name="фа">[152]Описание!$C$3:$AW$32</definedName>
    <definedName name="ФакторЗатухания">'[141]Прогноз СС'!#REF!</definedName>
    <definedName name="Факторы" hidden="1">{#N/A,#N/A,FALSE,"Расчет вспомогательных"}</definedName>
    <definedName name="фасад">#REF!</definedName>
    <definedName name="ФВАПФВАПФВАП" hidden="1">{#VALUE!,#N/A,TRUE,0}</definedName>
    <definedName name="ФВАПФВАПФВАПФВАПФВАП" hidden="1">{#VALUE!,#N/A,TRUE,0}</definedName>
    <definedName name="фвп" hidden="1">{#N/A,#N/A,FALSE,"Aging Summary";#N/A,#N/A,FALSE,"Ratio Analysis";#N/A,#N/A,FALSE,"Test 120 Day Accts";#N/A,#N/A,FALSE,"Tickmarks"}</definedName>
    <definedName name="фев">[4]титул!#REF!</definedName>
    <definedName name="фев03га">#REF!</definedName>
    <definedName name="фев03руб.">#REF!</definedName>
    <definedName name="фев03у.е.">#REF!</definedName>
    <definedName name="фев04гр">#REF!</definedName>
    <definedName name="фев04руб.">#REF!</definedName>
    <definedName name="фев04у.е.">#REF!</definedName>
    <definedName name="февр" hidden="1">{#VALUE!,#N/A,TRUE,0}</definedName>
    <definedName name="ФЗП">#REF!</definedName>
    <definedName name="ФИ_макс">[186]Данные!$B$5</definedName>
    <definedName name="Физ_Износ">#REF!</definedName>
    <definedName name="Фин">[4]Поступления!$F$30</definedName>
    <definedName name="Фин_вл">[4]Лист1!$F$60</definedName>
    <definedName name="Фин_вл_дол">[4]Лист1!#REF!</definedName>
    <definedName name="финанс" hidden="1">{#N/A,#N/A,TRUE,"Буржуям"}</definedName>
    <definedName name="финансы" hidden="1">{#N/A,#N/A,TRUE,"Буржуям"}</definedName>
    <definedName name="финвл">[4]Лист1!$F$95</definedName>
    <definedName name="ФинОф">[99]Параметры!#REF!</definedName>
    <definedName name="ФЙУКАЕ" hidden="1">{#VALUE!,#N/A,TRUE,0}</definedName>
    <definedName name="фкнно" hidden="1">{"'Prices'!$A$4:$J$27"}</definedName>
    <definedName name="фок.руб.">'[92]Гр+'!#REF!</definedName>
    <definedName name="фок.у.е.">'[92]Гр+'!#REF!</definedName>
    <definedName name="Фомичева" hidden="1">{"glc1",#N/A,FALSE,"GLC";"glc2",#N/A,FALSE,"GLC";"glc3",#N/A,FALSE,"GLC";"glc4",#N/A,FALSE,"GLC";"glc5",#N/A,FALSE,"GLC"}</definedName>
    <definedName name="Форма_Рент">#REF!</definedName>
    <definedName name="Форма_СС">#REF!</definedName>
    <definedName name="Форма_Цена">#REF!</definedName>
    <definedName name="форма51">[51]!GetSANDValue</definedName>
    <definedName name="фотореле">#REF!</definedName>
    <definedName name="фп" hidden="1">{"'Prices'!$A$4:$J$27"}</definedName>
    <definedName name="фп." hidden="1">#REF!,#REF!,#REF!,#REF!,#REF!,#REF!,#REF!</definedName>
    <definedName name="фпи" hidden="1">{"'Sheet1'!$A$1:$G$85"}</definedName>
    <definedName name="фплан" hidden="1">{#VALUE!,#N/A,TRUE,0}</definedName>
    <definedName name="фундаменты">#REF!</definedName>
    <definedName name="Фунт">'[116]Плановые курсы валют'!$B$4</definedName>
    <definedName name="фф" hidden="1">{#N/A,#N/A,TRUE,"Буржуям"}</definedName>
    <definedName name="ффL399">#REF!</definedName>
    <definedName name="ффпфк" hidden="1">{"glc1",#N/A,FALSE,"GLC";"glc2",#N/A,FALSE,"GLC";"glc3",#N/A,FALSE,"GLC";"glc4",#N/A,FALSE,"GLC";"glc5",#N/A,FALSE,"GLC"}</definedName>
    <definedName name="ффф" hidden="1">{"glc1",#N/A,FALSE,"GLC";"glc2",#N/A,FALSE,"GLC";"glc3",#N/A,FALSE,"GLC";"glc4",#N/A,FALSE,"GLC";"glc5",#N/A,FALSE,"GLC"}</definedName>
    <definedName name="ффффф" hidden="1">{#N/A,#N/A,TRUE,"Буржуям"}</definedName>
    <definedName name="фффффффф" hidden="1">{"'Sheet1'!$A$1:$G$85"}</definedName>
    <definedName name="ффыы" hidden="1">[84]MAIN!#REF!</definedName>
    <definedName name="фц" hidden="1">{"'РП (2)'!$A$5:$S$150"}</definedName>
    <definedName name="ФЫ҂АФЫВА" hidden="1">{#N/A,#N/A,TRUE,"Буржуям"}</definedName>
    <definedName name="фыав">#REF!</definedName>
    <definedName name="фыва">#REF!</definedName>
    <definedName name="фывафва" hidden="1">{#VALUE!,#N/A,TRUE,0}</definedName>
    <definedName name="ФЫВАФЫВА" hidden="1">{#N/A,#N/A,TRUE,"Буржуям"}</definedName>
    <definedName name="фыекфмит" hidden="1">#REF!</definedName>
    <definedName name="ФЭП">[51]П!#REF!</definedName>
    <definedName name="х">#REF!</definedName>
    <definedName name="х2">#REF!</definedName>
    <definedName name="хз">'[89]Метод остатка'!#REF!</definedName>
    <definedName name="Хорошая">#REF!</definedName>
    <definedName name="хранение">[4]СКР!$D$59</definedName>
    <definedName name="ххх" hidden="1">{"print95",#N/A,FALSE,"1995E.XLS";"print96",#N/A,FALSE,"1996E.XLS"}</definedName>
    <definedName name="ц" hidden="1">{"'Prices'!$A$4:$J$27"}</definedName>
    <definedName name="Ц_нефти">#REF!</definedName>
    <definedName name="Ц_нефти_проч">#REF!</definedName>
    <definedName name="Ц_нефти_сред">#REF!</definedName>
    <definedName name="Ц_отгрузки">#REF!</definedName>
    <definedName name="Ц_пр_мат">#REF!</definedName>
    <definedName name="Ц_процес">#REF!</definedName>
    <definedName name="Ц_транспорт">#REF!</definedName>
    <definedName name="Ц_трнспорт">#REF!</definedName>
    <definedName name="Ц_услуг">#REF!</definedName>
    <definedName name="Ц1_Материал">#REF!</definedName>
    <definedName name="Ц1_переработ">#REF!</definedName>
    <definedName name="ца" hidden="1">{#N/A,#N/A,FALSE,"Aging Summary";#N/A,#N/A,FALSE,"Ratio Analysis";#N/A,#N/A,FALSE,"Test 120 Day Accts";#N/A,#N/A,FALSE,"Tickmarks"}</definedName>
    <definedName name="ЦБ">[187]Начало!$J$7</definedName>
    <definedName name="Цена">#REF!</definedName>
    <definedName name="Цена_без_НДС">#REF!</definedName>
    <definedName name="Цена_нефти">#REF!</definedName>
    <definedName name="Цена_О">#REF!</definedName>
    <definedName name="цена_ПШФ">[4]СКР!#REF!</definedName>
    <definedName name="Цена_с_НДС">#REF!</definedName>
    <definedName name="цена_св">[4]Лист1!$S$100</definedName>
    <definedName name="ЦенаОферты">#REF!</definedName>
    <definedName name="ценапш3К">[4]СКР!#REF!</definedName>
    <definedName name="ценаячф">[4]СКР!#REF!</definedName>
    <definedName name="центр" hidden="1">{#N/A,#N/A,TRUE,"Буржуям"}</definedName>
    <definedName name="цкпуйкркоегш">#REF!</definedName>
    <definedName name="ЦП_тек">[4]Лист1!$K$89</definedName>
    <definedName name="ЦПК" hidden="1">{#N/A,#N/A,TRUE,"Буржуям"}</definedName>
    <definedName name="ЦРПШ3">[4]СКР!$E$987</definedName>
    <definedName name="ЦРПШФ">[4]СКР!$E$983</definedName>
    <definedName name="ЦРЯЧФ">[4]СКР!$E$986</definedName>
    <definedName name="цу" hidden="1">{#N/A,#N/A,FALSE,"Virgin Flightdeck"}</definedName>
    <definedName name="цукеацуеп">#REF!</definedName>
    <definedName name="ЦУКЕЦУК" hidden="1">{#VALUE!,#N/A,TRUE,0}</definedName>
    <definedName name="ЦУКЕЦУКЕ" hidden="1">{#VALUE!,#N/A,TRUE,0}</definedName>
    <definedName name="ЦУКПФУКП" hidden="1">{#VALUE!,#N/A,TRUE,0}</definedName>
    <definedName name="ЦУКЦУК" hidden="1">{#N/A,#N/A,TRUE,"Буржуям"}</definedName>
    <definedName name="ЦУКЦУКЦЕУКЕУ" hidden="1">{#N/A,#N/A,TRUE,"Буржуям"}</definedName>
    <definedName name="ЦУН">'[112]каскад,5'!#REF!</definedName>
    <definedName name="цц" hidden="1">{#N/A,#N/A,TRUE,"Буржуям"}</definedName>
    <definedName name="ццу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ццуу">#REF!</definedName>
    <definedName name="цццц" hidden="1">{#N/A,#N/A,FALSE,"Virgin Flightdeck"}</definedName>
    <definedName name="цццццццц" hidden="1">{"'Sheet1'!$A$1:$G$85"}</definedName>
    <definedName name="ч" hidden="1">{#N/A,#N/A,TRUE,"Буржуям"}</definedName>
    <definedName name="чапач" hidden="1">{"'Sheet1'!$A$12:$K$107"}</definedName>
    <definedName name="ЧДД">#REF!</definedName>
    <definedName name="чист1">[82]Титул!$D$12,[82]Титул!$E$15,[82]Титул!$C$20,[82]Титул!$L$12:$O$17</definedName>
    <definedName name="чист3">[82]Ф2!$M$22:$Q$30,[82]Ф2!$M$34:$Q$42,[82]Ф2!$M$46:$Q$48,[82]Ф2!$M$53:$Q$54,[82]Ф2!$M$59:$Q$59,[82]Ф2!$M$65:$Q$65,[82]Ф2!$M$68:$Q$72</definedName>
    <definedName name="чист4">[82]Ф4!$M$27:$Q$28,[82]Ф4!$K$29:$L$32,[82]Ф4!$M$30:$Q$34,[82]Ф4!$K$37:$L$40,[82]Ф4!$M$37:$Q$37,[82]Ф4!$M$40:$Q$40,[82]Ф4!$M$41,[82]Ф4!$M$42:$Q$45,[82]Ф4!$K$44:$L$45,[82]Ф4!$J$50:$J$52</definedName>
    <definedName name="чист5">[82]Ф5!$J$26:$Q$30,[82]Ф5!$J$33:$Q$42,[82]Ф5!$J$51:$Q$56,[82]Ф5!$J$66:$Q$67,[82]Ф5!$J$72:$Q$74,[82]Ф5!$J$76:$Q$79,[82]Ф5!$J$81:$Q$82,[82]Ф5!$J$89:$J$97,[82]Ф5!$N$89:$Q$97,[82]Ф5!$J$105:$J$110,[82]Ф5!$N$105:$Q$110,[82]Ф5!$J$118:$J$119,[82]Ф5!$J$132:$J$133,[82]Ф5!$J$140:$M$141,[82]Ф5!$J$143:$M$145,[82]Ф5!$J$148:$M$150,[82]Ф5!$J$157:$Q$160</definedName>
    <definedName name="чист6">[82]Ф6!$L$19,[82]Ф6!$J$21:$N$25,[82]Ф6!$J$29:$N$31,[82]Ф6!$J$34:$N$37</definedName>
    <definedName name="ЧММА">[4]Лист1!$S$2</definedName>
    <definedName name="ЧММА_СКР_схт">[4]Лист1!$U$2</definedName>
    <definedName name="ЧП1">[4]Лист1!#REF!</definedName>
    <definedName name="чпава" hidden="1">{"'Sheet1'!$A$1:$G$85"}</definedName>
    <definedName name="чс" hidden="1">{"PRINTME",#N/A,FALSE,"FINAL-10"}</definedName>
    <definedName name="ЧЧ" hidden="1">{"glcbs",#N/A,FALSE,"GLCBS";"glccsbs",#N/A,FALSE,"GLCCSBS";"glcis",#N/A,FALSE,"GLCIS";"glccsis",#N/A,FALSE,"GLCCSIS";"glcrat1",#N/A,FALSE,"GLC-ratios1"}</definedName>
    <definedName name="чя">#REF!</definedName>
    <definedName name="ш.оз.руб.">'[92]Гр+'!#REF!</definedName>
    <definedName name="ш.оз.у.е.">'[92]Гр+'!#REF!</definedName>
    <definedName name="шаб">'[188]Инвестиции(18)'!#REF!</definedName>
    <definedName name="шахты">'[89]Метод остатка'!#REF!</definedName>
    <definedName name="шгнек" hidden="1">{#N/A,#N/A,FALSE,"Aging Summary";#N/A,#N/A,FALSE,"Ratio Analysis";#N/A,#N/A,FALSE,"Test 120 Day Accts";#N/A,#N/A,FALSE,"Tickmarks"}</definedName>
    <definedName name="Шексн_КХП">[4]Лист1!#REF!</definedName>
    <definedName name="Шексн_КХП_Ц">[4]СКР!#REF!</definedName>
    <definedName name="Шексна_кредРЗ">[4]Лист1!$F$134</definedName>
    <definedName name="шз" hidden="1">{#N/A,#N/A,FALSE,"Aging Summary";#N/A,#N/A,FALSE,"Ratio Analysis";#N/A,#N/A,FALSE,"Test 120 Day Accts";#N/A,#N/A,FALSE,"Tickmarks"}</definedName>
    <definedName name="шловнгаовро" hidden="1">{"glc1",#N/A,FALSE,"GLC";"glc2",#N/A,FALSE,"GLC";"glc3",#N/A,FALSE,"GLC";"glc4",#N/A,FALSE,"GLC";"glc5",#N/A,FALSE,"GLC"}</definedName>
    <definedName name="шлыу" hidden="1">{"glc1",#N/A,FALSE,"GLC";"glc2",#N/A,FALSE,"GLC";"glc3",#N/A,FALSE,"GLC";"glc4",#N/A,FALSE,"GLC";"glc5",#N/A,FALSE,"GLC"}</definedName>
    <definedName name="шнгдо">[0]!шнгдо</definedName>
    <definedName name="шнгкщнгшкн">[0]!шнгкщнгшкн</definedName>
    <definedName name="шрот_соев">#REF!</definedName>
    <definedName name="шш">[101]рын!$B$1:$L$65536</definedName>
    <definedName name="шшшшш" hidden="1">{"glc1",#N/A,FALSE,"GLC";"glc2",#N/A,FALSE,"GLC";"glc3",#N/A,FALSE,"GLC";"glc4",#N/A,FALSE,"GLC";"glc5",#N/A,FALSE,"GLC"}</definedName>
    <definedName name="шщх" hidden="1">{#VALUE!,#N/A,TRUE,0}</definedName>
    <definedName name="щдшло" hidden="1">#REF!</definedName>
    <definedName name="ЩИТОК_ОСВЕТИТ">'[42]матер.(октябрь)'!#REF!</definedName>
    <definedName name="щордр">#REF!</definedName>
    <definedName name="щшнр">#REF!</definedName>
    <definedName name="щщ" hidden="1">{#N/A,#N/A,FALSE,"Virgin Flightdeck"}</definedName>
    <definedName name="ъщ" hidden="1">{#VALUE!,#N/A,TRUE,0}</definedName>
    <definedName name="ы" hidden="1">{#N/A,#N/A,FALSE,"Virgin Flightdeck"}</definedName>
    <definedName name="ЫАиА" hidden="1">{"'Prices'!$A$4:$J$27"}</definedName>
    <definedName name="ыаит" hidden="1">{"'Prices'!$A$4:$J$27"}</definedName>
    <definedName name="ываждло" hidden="1">{"glc1",#N/A,FALSE,"GLC";"glc2",#N/A,FALSE,"GLC";"glc3",#N/A,FALSE,"GLC";"glc4",#N/A,FALSE,"GLC";"glc5",#N/A,FALSE,"GLC"}</definedName>
    <definedName name="ывапра" hidden="1">{"'Sheet1'!$A$1:$G$85"}</definedName>
    <definedName name="ЫВАПРФВАПЫВА" hidden="1">{#VALUE!,#N/A,TRUE,0}</definedName>
    <definedName name="ЫВАПЫВАПЫВА" hidden="1">{#N/A,#N/A,TRUE,"Буржуям"}</definedName>
    <definedName name="ыварвы">#REF!</definedName>
    <definedName name="ЫВВЫВЫВ" hidden="1">#REF!</definedName>
    <definedName name="Ывмыцкп" hidden="1">{"'Prices'!$A$4:$J$27"}</definedName>
    <definedName name="ывп" hidden="1">{#N/A,#N/A,FALSE,"Расчет вспомогательных"}</definedName>
    <definedName name="ывшакжпоритадмьып">#REF!</definedName>
    <definedName name="Ыгь" hidden="1">{#N/A,#N/A,FALSE,"Aging Summary";#N/A,#N/A,FALSE,"Ratio Analysis";#N/A,#N/A,FALSE,"Test 120 Day Accts";#N/A,#N/A,FALSE,"Tickmarks"}</definedName>
    <definedName name="ыерот" hidden="1">{"'Prices'!$A$4:$J$27"}</definedName>
    <definedName name="ымп" hidden="1">{"'Prices'!$A$4:$J$27"}</definedName>
    <definedName name="ыуврпшлек">[4]Отгрузка!#REF!</definedName>
    <definedName name="ЫУКЕЦУКЕ" hidden="1">{#VALUE!,#N/A,TRUE,0}</definedName>
    <definedName name="ыфаф" hidden="1">{#N/A,#N/A,TRUE,"Буржуям"}</definedName>
    <definedName name="ыфв">#REF!</definedName>
    <definedName name="ыфвфв" hidden="1">{"glcbs",#N/A,FALSE,"GLCBS";"glccsbs",#N/A,FALSE,"GLCCSBS";"glcis",#N/A,FALSE,"GLCIS";"glccsis",#N/A,FALSE,"GLCCSIS";"glcrat1",#N/A,FALSE,"GLC-ratios1"}</definedName>
    <definedName name="ыыы" hidden="1">{"'РП (2)'!$A$5:$S$150"}</definedName>
    <definedName name="ь" hidden="1">{#N/A,#N/A,TRUE,"Буржуям"}</definedName>
    <definedName name="ьдьб" hidden="1">{"assets",#N/A,FALSE,"historicBS";"liab",#N/A,FALSE,"historicBS";"is",#N/A,FALSE,"historicIS";"ratios",#N/A,FALSE,"ratios"}</definedName>
    <definedName name="ьрпср" hidden="1">{"'Sheet1'!$A$1:$G$85"}</definedName>
    <definedName name="ьь">[101]износ!$B$1:$I$65536</definedName>
    <definedName name="ььь" hidden="1">#REF!</definedName>
    <definedName name="ьььь" hidden="1">{#N/A,#N/A,TRUE,"Буржуям"}</definedName>
    <definedName name="ььььььььь" hidden="1">{"'Sheet1'!$A$1:$G$85"}</definedName>
    <definedName name="Э">[4]Поступления!#REF!</definedName>
    <definedName name="Э_02">'[4]Хран сах '!#REF!</definedName>
    <definedName name="э_23">[4]Лист1!$AO$55</definedName>
    <definedName name="э12ш" hidden="1">{"glc1",#N/A,FALSE,"GLC";"glc2",#N/A,FALSE,"GLC";"glc3",#N/A,FALSE,"GLC";"glc4",#N/A,FALSE,"GLC";"glc5",#N/A,FALSE,"GLC"}</definedName>
    <definedName name="экология">#REF!</definedName>
    <definedName name="элво">#REF!</definedName>
    <definedName name="электроинструмент">#REF!</definedName>
    <definedName name="Электроснабжение">[97]Исходник!$R$4:$R$6</definedName>
    <definedName name="ЭН">'[4]Хран сах '!#REF!</definedName>
    <definedName name="эн.2004" hidden="1">{#VALUE!,#N/A,TRUE,0}</definedName>
    <definedName name="эн.2004год" hidden="1">{#N/A,#N/A,TRUE,"Буржуям"}</definedName>
    <definedName name="энг1.руб.">'[92]Гр+'!#REF!</definedName>
    <definedName name="энергия" hidden="1">{#N/A,#N/A,TRUE,"Буржуям"}</definedName>
    <definedName name="эра" hidden="1">{#N/A,#N/A,TRUE,"Буржуям"}</definedName>
    <definedName name="Эркен_03">[4]Лист1!#REF!</definedName>
    <definedName name="Эсв_02">[4]Лист1!#REF!</definedName>
    <definedName name="эт_5_1">#REF!</definedName>
    <definedName name="эт_5_2">#REF!</definedName>
    <definedName name="эт_5_3">#REF!</definedName>
    <definedName name="эт_6_1">#REF!</definedName>
    <definedName name="Этажность">[99]Параметры!$B$11</definedName>
    <definedName name="ээээ" hidden="1">{"'Prices'!$A$4:$J$27"}</definedName>
    <definedName name="ю" hidden="1">{#N/A,#N/A,FALSE,"Virgin Flightdeck"}</definedName>
    <definedName name="юбю">#REF!</definedName>
    <definedName name="юля">[152]Описание!$A$3:$IV$43</definedName>
    <definedName name="юр.отд.">'[112]каскад,5'!#REF!</definedName>
    <definedName name="ЮЮЮ">#REF!</definedName>
    <definedName name="юююю" hidden="1">{#VALUE!,#N/A,TRUE,0}</definedName>
    <definedName name="ЮЮЮЮЮЮЮ">#REF!</definedName>
    <definedName name="я" hidden="1">{"'Prices'!$A$4:$J$27"}</definedName>
    <definedName name="я1">#REF!</definedName>
    <definedName name="я10">[4]Лист1!$F$12</definedName>
    <definedName name="я11">[4]Лист1!$F$13</definedName>
    <definedName name="я12">[4]Лист1!$F$14</definedName>
    <definedName name="я13">[4]Лист1!$F$15</definedName>
    <definedName name="я14">[4]Лист1!$F$16</definedName>
    <definedName name="я15">[4]Лист1!$F$17</definedName>
    <definedName name="я16">[4]Лист1!$F$18</definedName>
    <definedName name="я17">[4]Лист1!$F$19</definedName>
    <definedName name="я18">[4]Лист1!$F$58</definedName>
    <definedName name="я19">[4]Лист1!$F$60</definedName>
    <definedName name="я2">#REF!</definedName>
    <definedName name="я20">[4]Лист1!$F$62</definedName>
    <definedName name="я21">[4]Лист1!$F$108</definedName>
    <definedName name="я22">[4]Лист1!$F$64</definedName>
    <definedName name="я23">[4]Лист1!$F$65</definedName>
    <definedName name="я24">[4]Лист1!$F$66</definedName>
    <definedName name="я25">[4]Лист1!$F$67</definedName>
    <definedName name="я26">[4]Лист1!$F$61</definedName>
    <definedName name="я27">[4]Лист1!$F$68</definedName>
    <definedName name="я28">[4]Лист1!$F$69</definedName>
    <definedName name="я29">[4]Лист1!$F$70</definedName>
    <definedName name="я3">#REF!</definedName>
    <definedName name="я30">[4]Лист1!$F$71</definedName>
    <definedName name="я31">[4]Лист1!$F$20</definedName>
    <definedName name="я32">[4]Лист1!$F$21</definedName>
    <definedName name="я33">[4]Лист1!$F$22</definedName>
    <definedName name="я34">[4]Лист1!$F$23</definedName>
    <definedName name="я35">[4]Лист1!$F$24</definedName>
    <definedName name="я36">[4]Лист1!$F$25</definedName>
    <definedName name="я37">[4]Лист1!$F$28</definedName>
    <definedName name="я38">[4]Лист1!$F$48</definedName>
    <definedName name="я39">[4]Лист1!$F$29</definedName>
    <definedName name="я4">[4]Лист1!$F$6</definedName>
    <definedName name="я40">[4]Лист1!$F$30</definedName>
    <definedName name="я41">[4]Лист1!$F$32</definedName>
    <definedName name="я42">[4]Лист1!$F$33</definedName>
    <definedName name="я43">[4]Лист1!$F$34</definedName>
    <definedName name="я44">[4]Лист1!#REF!</definedName>
    <definedName name="я45">[4]Лист1!$F$49</definedName>
    <definedName name="я46">[4]Лист1!$F$39</definedName>
    <definedName name="я47">[4]Лист1!$F$50</definedName>
    <definedName name="я48">[4]Лист1!$F$40</definedName>
    <definedName name="я49">[4]Лист1!#REF!</definedName>
    <definedName name="я5">[4]Лист1!$F$7</definedName>
    <definedName name="я50">[4]Лист1!$F$42</definedName>
    <definedName name="я51">[4]Лист1!$F$54</definedName>
    <definedName name="я52">[4]Лист1!$F$55</definedName>
    <definedName name="я53">[4]Лист1!$F$56</definedName>
    <definedName name="я54">[4]Лист1!$F$57</definedName>
    <definedName name="я55">[4]Лист1!$F$72</definedName>
    <definedName name="я56">[4]Лист1!$F$104</definedName>
    <definedName name="я57">[4]Лист1!$F$74</definedName>
    <definedName name="я58">[4]Лист1!$F$75</definedName>
    <definedName name="я59">[4]Лист1!$F$105</definedName>
    <definedName name="я6">[4]Лист1!$F$8</definedName>
    <definedName name="я60">[4]Лист1!$F$77</definedName>
    <definedName name="я61">[4]Лист1!#REF!</definedName>
    <definedName name="я62">[4]Лист1!$F$79</definedName>
    <definedName name="я63">[4]Лист1!$F$80</definedName>
    <definedName name="я64">[4]Лист1!$F$81</definedName>
    <definedName name="я65">[4]Лист1!$F$106</definedName>
    <definedName name="я66">[4]Лист1!$F$82</definedName>
    <definedName name="я67">[4]Лист1!$F$83</definedName>
    <definedName name="я68">[4]Лист1!$F$84</definedName>
    <definedName name="я69">[4]Лист1!$F$85</definedName>
    <definedName name="я7">[4]Лист1!$F$9</definedName>
    <definedName name="я70">[4]Лист1!$F$87</definedName>
    <definedName name="я71">[4]Лист1!$F$90</definedName>
    <definedName name="я72">[4]Лист1!$F$91</definedName>
    <definedName name="я73">[4]Лист1!$F$93</definedName>
    <definedName name="я74">[4]Лист1!$F$94</definedName>
    <definedName name="я75">[4]Лист1!$F$95</definedName>
    <definedName name="я76">[4]Лист1!$F$96</definedName>
    <definedName name="я77">[4]Лист1!$F$107</definedName>
    <definedName name="я78">[4]Лист1!$F$98</definedName>
    <definedName name="я79">[4]Лист1!$F$99</definedName>
    <definedName name="я8">[4]Лист1!$F$10</definedName>
    <definedName name="я80">[4]Лист1!$F$100</definedName>
    <definedName name="я81">[4]Лист1!$F$111</definedName>
    <definedName name="я82">[4]Лист1!$F$112</definedName>
    <definedName name="я83">[4]Лист1!$F$114</definedName>
    <definedName name="я84">[4]Лист1!$F$202</definedName>
    <definedName name="я85">[4]Лист1!$F$208</definedName>
    <definedName name="я86">[4]Лист1!$F$219</definedName>
    <definedName name="я9">[4]Лист1!$F$11</definedName>
    <definedName name="ява" hidden="1">{"'Sheet1'!$A$1:$G$85"}</definedName>
    <definedName name="яваи" hidden="1">{"'Sheet1'!$A$1:$G$85"}</definedName>
    <definedName name="Яна">[90]НФИк!$A$17</definedName>
    <definedName name="янв">[4]титул!#REF!</definedName>
    <definedName name="янв03гр">#REF!</definedName>
    <definedName name="янв03руб">#REF!</definedName>
    <definedName name="янв03у.е.">#REF!</definedName>
    <definedName name="янв04гр">#REF!</definedName>
    <definedName name="янв04руб.">'[92]Гр+'!#REF!</definedName>
    <definedName name="янв04у.е.">#REF!</definedName>
    <definedName name="январь" hidden="1">{#VALUE!,#N/A,TRUE,0}</definedName>
    <definedName name="яп" hidden="1">{#VALUE!,#N/A,TRUE,0}</definedName>
    <definedName name="яу" hidden="1">{#N/A,#N/A,FALSE,"Virgin Flightdeck"}</definedName>
    <definedName name="яф" hidden="1">{#N/A,#N/A,FALSE,"Aging Summary";#N/A,#N/A,FALSE,"Ratio Analysis";#N/A,#N/A,FALSE,"Test 120 Day Accts";#N/A,#N/A,FALSE,"Tickmarks"}</definedName>
    <definedName name="яч" hidden="1">{#N/A,#N/A,FALSE,"Aging Summary";#N/A,#N/A,FALSE,"Ratio Analysis";#N/A,#N/A,FALSE,"Test 120 Day Accts";#N/A,#N/A,FALSE,"Tickmarks"}</definedName>
    <definedName name="яч_ДС_по">[4]Лист1!$F$137</definedName>
    <definedName name="яч_дс_РЗ_1">[4]Лист1!#REF!</definedName>
    <definedName name="яч_дс_РЗ_2">[4]Лист1!#REF!</definedName>
    <definedName name="яч_дс_РЗ_3">[4]Лист1!#REF!</definedName>
    <definedName name="яч_дс_РЗ_4">[4]Лист1!#REF!</definedName>
    <definedName name="яч_дс_РЗ_5">[4]Лист1!#REF!</definedName>
    <definedName name="яч_дс_РЗ_6">[4]Лист1!#REF!</definedName>
    <definedName name="яч_дс_РЗ_7">[4]Лист1!#REF!</definedName>
    <definedName name="яч_дс_РЗ_8">'[4]PL (2)'!#REF!</definedName>
    <definedName name="яч_ДС_факт">[4]Лист1!$G$137</definedName>
    <definedName name="яч_рз1">'[4]PL (2)'!#REF!</definedName>
    <definedName name="яч_рз2">'[4]PL (2)'!#REF!</definedName>
    <definedName name="яч_рз3">'[4]PL (2)'!#REF!</definedName>
    <definedName name="яч_рз4">'[4]PL (2)'!#REF!</definedName>
    <definedName name="яч_рз5">'[4]PL (2)'!#REF!</definedName>
    <definedName name="яч_рз6">'[4]PL (2)'!#REF!</definedName>
    <definedName name="яч_рпк2">'[4]PL (2)'!#REF!</definedName>
    <definedName name="яч_рпк3">'[4]PL (2)'!#REF!</definedName>
    <definedName name="яч_рпк4">'[4]PL (2)'!#REF!</definedName>
    <definedName name="яч_рпк5">'[4]PL (2)'!#REF!</definedName>
    <definedName name="яч_рпк6">'[4]PL (2)'!#REF!</definedName>
    <definedName name="яч_рпк7">'[4]13,40 Авансы_получ'!#REF!</definedName>
    <definedName name="яч_рпк8">'[4]13,40 Авансы_получ'!#REF!</definedName>
    <definedName name="яч_рск2">'[4]13,40 Авансы_получ'!#REF!</definedName>
    <definedName name="яч_рск3">'[4]13,40 Авансы_получ'!#REF!</definedName>
    <definedName name="яч_руб_по">[4]Лист1!$I$55</definedName>
    <definedName name="яч_руб_факт">[4]Лист1!$J$55</definedName>
    <definedName name="яч_тонн_по">[4]Лист1!$F$55</definedName>
    <definedName name="яч_тонн_факт">[4]Лист1!$G$55</definedName>
    <definedName name="Яч_ф">'[4]Фин. вложения'!$L$58</definedName>
    <definedName name="яч_фур">[4]Лист1!#REF!</definedName>
    <definedName name="яч_фур_дол">[4]Лист1!$H$52</definedName>
    <definedName name="яч_фур_дол_факт">[4]Лист1!#REF!</definedName>
    <definedName name="яч_фур_отг">[4]Лист1!$F$226</definedName>
    <definedName name="яч_фур_отг_ДС">[4]Лист1!$M$191</definedName>
    <definedName name="яч_фур_руб">[4]Лист1!$G$52</definedName>
    <definedName name="яч_фур_руб_факт">[4]Лист1!#REF!</definedName>
    <definedName name="яч_фур_факт">[4]Лист1!#REF!</definedName>
    <definedName name="Ячм">[4]б!$F$44</definedName>
    <definedName name="Ячм_пив_ДС_ПО">[4]Лист1!$F$144</definedName>
    <definedName name="ЯЧМ_пив_ДС_факт">[4]Лист1!$G$144</definedName>
    <definedName name="Ячмень">[4]Лист1!$T$89</definedName>
    <definedName name="ячпивофакттн">[4]Лист1!$I$144</definedName>
    <definedName name="ячряд">[4]Лист1!#REF!</definedName>
    <definedName name="ячряд1">[4]Лист1!#REF!</definedName>
    <definedName name="ячсм" hidden="1">#REF!</definedName>
    <definedName name="ячфПО">[4]Лист1!$M$55</definedName>
    <definedName name="ячфФ">[4]Лист1!$N$55</definedName>
    <definedName name="ящики">#REF!</definedName>
    <definedName name="яя">[4]Лист1!$E$4</definedName>
    <definedName name="яя_рпк1">[4]Лист1!#REF!</definedName>
    <definedName name="яя_рпк2">[4]Лист1!#REF!</definedName>
    <definedName name="яя_рск1">[4]Лист1!#REF!</definedName>
    <definedName name="яя_рск2">[4]Лист1!#REF!</definedName>
    <definedName name="яя_рск3">[4]Лист1!#REF!</definedName>
    <definedName name="яяя">[4]Лист1!$E$4</definedName>
    <definedName name="яяяя" hidden="1">{#N/A,#N/A,TRUE,"Буржуям"}</definedName>
  </definedNames>
  <calcPr calcId="191029" calcMode="manual" iterate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X51" i="2" l="1"/>
  <c r="BX50" i="2"/>
  <c r="BX49" i="2"/>
  <c r="BX48" i="2"/>
  <c r="BX47" i="2"/>
  <c r="BX46" i="2"/>
  <c r="BX45" i="2"/>
  <c r="BX44" i="2"/>
  <c r="BX41" i="2"/>
  <c r="BX40" i="2"/>
  <c r="BX39" i="2"/>
  <c r="BX38" i="2"/>
  <c r="BX37" i="2"/>
  <c r="BX35" i="2"/>
  <c r="BX36" i="2"/>
  <c r="BX34" i="2"/>
  <c r="BX33" i="2"/>
  <c r="BX31" i="2"/>
  <c r="BX32" i="2"/>
  <c r="BX30" i="2"/>
  <c r="BX29" i="2"/>
  <c r="BX28" i="2"/>
  <c r="BX27" i="2"/>
  <c r="BX26" i="2"/>
  <c r="BX18" i="2"/>
  <c r="BX17" i="2"/>
  <c r="BX13" i="2"/>
  <c r="BX14" i="2"/>
  <c r="BX12" i="2"/>
  <c r="BX9" i="2"/>
  <c r="BX8" i="2"/>
  <c r="AS75" i="7" l="1"/>
  <c r="AS70" i="7"/>
  <c r="AS58" i="7"/>
  <c r="AS41" i="7"/>
  <c r="AS44" i="7" s="1"/>
  <c r="AD23" i="6"/>
  <c r="AD18" i="6"/>
  <c r="AD34" i="6" s="1"/>
  <c r="AD36" i="6" s="1"/>
  <c r="AQ75" i="7" l="1"/>
  <c r="AS69" i="7"/>
  <c r="AS67" i="7"/>
  <c r="AS66" i="7"/>
  <c r="AS65" i="7"/>
  <c r="AS68" i="7"/>
  <c r="AS64" i="7"/>
  <c r="AS63" i="7"/>
  <c r="AS62" i="7"/>
  <c r="AS61" i="7"/>
  <c r="AS56" i="7"/>
  <c r="AS55" i="7"/>
  <c r="AS54" i="7"/>
  <c r="AS53" i="7"/>
  <c r="AS57" i="7"/>
  <c r="AS52" i="7"/>
  <c r="AS73" i="7"/>
  <c r="AS74" i="7"/>
  <c r="AR72" i="7"/>
  <c r="AR70" i="7"/>
  <c r="AR58" i="7"/>
  <c r="AS51" i="7"/>
  <c r="AS49" i="7"/>
  <c r="AS48" i="7"/>
  <c r="AS47" i="7"/>
  <c r="AR44" i="7"/>
  <c r="AS43" i="7"/>
  <c r="AS42" i="7"/>
  <c r="AS33" i="7"/>
  <c r="AR41" i="7"/>
  <c r="AS40" i="7"/>
  <c r="AS39" i="7"/>
  <c r="AS38" i="7"/>
  <c r="AQ38" i="7"/>
  <c r="AS36" i="7"/>
  <c r="AQ36" i="7"/>
  <c r="AS35" i="7"/>
  <c r="AQ35" i="7"/>
  <c r="AS34" i="7"/>
  <c r="AQ33" i="7"/>
  <c r="AQ34" i="7"/>
  <c r="AS24" i="7"/>
  <c r="AQ24" i="7"/>
  <c r="AR24" i="7"/>
  <c r="AP24" i="7"/>
  <c r="AO24" i="7"/>
  <c r="AN24" i="7"/>
  <c r="AM24" i="7"/>
  <c r="AL24" i="7"/>
  <c r="AK24" i="7"/>
  <c r="AJ24" i="7"/>
  <c r="AI24" i="7"/>
  <c r="AH24" i="7"/>
  <c r="AG24" i="7"/>
  <c r="AF24" i="7"/>
  <c r="AE24" i="7"/>
  <c r="AD24" i="7"/>
  <c r="O24" i="7"/>
  <c r="AC24" i="7"/>
  <c r="AB24" i="7"/>
  <c r="AA24" i="7"/>
  <c r="Z24" i="7"/>
  <c r="Y24" i="7"/>
  <c r="X24" i="7"/>
  <c r="W24" i="7"/>
  <c r="V24" i="7"/>
  <c r="U24" i="7"/>
  <c r="T24" i="7"/>
  <c r="S24" i="7"/>
  <c r="R24" i="7"/>
  <c r="Q24" i="7"/>
  <c r="N24" i="7"/>
  <c r="M24" i="7"/>
  <c r="L24" i="7"/>
  <c r="K24" i="7"/>
  <c r="J24" i="7"/>
  <c r="I24" i="7"/>
  <c r="H24" i="7"/>
  <c r="G24" i="7"/>
  <c r="F24" i="7"/>
  <c r="E24" i="7"/>
  <c r="D24" i="7"/>
  <c r="C24" i="7"/>
  <c r="B24" i="7"/>
  <c r="AS27" i="7"/>
  <c r="AS21" i="7"/>
  <c r="AS20" i="7"/>
  <c r="AS19" i="7"/>
  <c r="AS30" i="7"/>
  <c r="AS29" i="7"/>
  <c r="AS28" i="7"/>
  <c r="AS25" i="7"/>
  <c r="AS26" i="7"/>
  <c r="AS23" i="7"/>
  <c r="AS22" i="7"/>
  <c r="AS18" i="7"/>
  <c r="AS17" i="7"/>
  <c r="AS16" i="7"/>
  <c r="AS15" i="7"/>
  <c r="AS14" i="7"/>
  <c r="AS13" i="7"/>
  <c r="AS12" i="7"/>
  <c r="AS11" i="7"/>
  <c r="AS10" i="7"/>
  <c r="AS7" i="7"/>
  <c r="AD68" i="6"/>
  <c r="AC68" i="6"/>
  <c r="AD67" i="6"/>
  <c r="AC64" i="6"/>
  <c r="AD65" i="6"/>
  <c r="AD66" i="6"/>
  <c r="AD64" i="6"/>
  <c r="AD63" i="6"/>
  <c r="AD61" i="6"/>
  <c r="AD58" i="6"/>
  <c r="AC58" i="6"/>
  <c r="AD57" i="6"/>
  <c r="AD56" i="6"/>
  <c r="AD55" i="6"/>
  <c r="AD53" i="6"/>
  <c r="AD52" i="6"/>
  <c r="AC52" i="6"/>
  <c r="AD51" i="6"/>
  <c r="AD48" i="6"/>
  <c r="AC48" i="6"/>
  <c r="AD47" i="6"/>
  <c r="AD46" i="6"/>
  <c r="AD45" i="6"/>
  <c r="AD44" i="6"/>
  <c r="AD43" i="6"/>
  <c r="AD42" i="6"/>
  <c r="AD40" i="6" s="1"/>
  <c r="AD41" i="6"/>
  <c r="AC36" i="6"/>
  <c r="AC34" i="6"/>
  <c r="AD31" i="6"/>
  <c r="AD30" i="6"/>
  <c r="AD29" i="6"/>
  <c r="AD28" i="6"/>
  <c r="AD27" i="6"/>
  <c r="AD26" i="6"/>
  <c r="AD25" i="6"/>
  <c r="AC25" i="6"/>
  <c r="AD24" i="6"/>
  <c r="AD22" i="6"/>
  <c r="AD21" i="6"/>
  <c r="AD20" i="6"/>
  <c r="AD19" i="6"/>
  <c r="AD32" i="6"/>
  <c r="AD15" i="6"/>
  <c r="AD14" i="6"/>
  <c r="AD13" i="6"/>
  <c r="AD12" i="6"/>
  <c r="AD11" i="6"/>
  <c r="AD10" i="6"/>
  <c r="AD9" i="6"/>
  <c r="AD8" i="6"/>
  <c r="AS44" i="5"/>
  <c r="AS42" i="5"/>
  <c r="AS39" i="5"/>
  <c r="AS38" i="5"/>
  <c r="AS37" i="5"/>
  <c r="AS34" i="5"/>
  <c r="AS33" i="5"/>
  <c r="AS32" i="5"/>
  <c r="AS31" i="5"/>
  <c r="AS30" i="5"/>
  <c r="AS29" i="5"/>
  <c r="AS28" i="5"/>
  <c r="AS27" i="5"/>
  <c r="AS26" i="5"/>
  <c r="AS24" i="5"/>
  <c r="AS23" i="5"/>
  <c r="AS22" i="5"/>
  <c r="AS21" i="5"/>
  <c r="AS20" i="5"/>
  <c r="AS19" i="5"/>
  <c r="AS17" i="5"/>
  <c r="AS13" i="5"/>
  <c r="AS9" i="5"/>
  <c r="AS72" i="7" l="1"/>
  <c r="AS31" i="7"/>
  <c r="AD62" i="6"/>
  <c r="AS58" i="5"/>
  <c r="AS57" i="5"/>
  <c r="AS56" i="5"/>
  <c r="AS55" i="5"/>
  <c r="AS54" i="5"/>
  <c r="AQ54" i="5"/>
  <c r="AR54" i="5" s="1"/>
  <c r="AP54" i="5"/>
  <c r="AS53" i="5"/>
  <c r="AS52" i="5"/>
  <c r="AS51" i="5"/>
  <c r="BU35" i="2" l="1"/>
  <c r="BT35" i="2"/>
  <c r="BU34" i="2"/>
  <c r="BT34" i="2"/>
  <c r="BU9" i="2"/>
  <c r="BT9" i="2"/>
  <c r="BW51" i="2" l="1"/>
  <c r="BW48" i="2"/>
  <c r="BW18" i="2"/>
  <c r="P47" i="1" l="1"/>
  <c r="P48" i="1"/>
  <c r="P46" i="1"/>
  <c r="BW50" i="2" l="1"/>
  <c r="BW49" i="2"/>
  <c r="BW47" i="2"/>
  <c r="BW46" i="2"/>
  <c r="BW45" i="2"/>
  <c r="BW44" i="2"/>
  <c r="BW41" i="2"/>
  <c r="BW40" i="2"/>
  <c r="BW39" i="2"/>
  <c r="BW38" i="2"/>
  <c r="BW37" i="2"/>
  <c r="BW35" i="2"/>
  <c r="BW36" i="2"/>
  <c r="BW34" i="2"/>
  <c r="BW33" i="2"/>
  <c r="BW31" i="2"/>
  <c r="BW32" i="2"/>
  <c r="BW30" i="2"/>
  <c r="BS35" i="2" l="1"/>
  <c r="BV33" i="2"/>
  <c r="BV31" i="2"/>
  <c r="BV32" i="2"/>
  <c r="BV30" i="2"/>
  <c r="BW29" i="2"/>
  <c r="BW27" i="2"/>
  <c r="BW28" i="2"/>
  <c r="BW26" i="2"/>
  <c r="BW14" i="2"/>
  <c r="BW13" i="2"/>
  <c r="BW12" i="2"/>
  <c r="BW9" i="2" l="1"/>
  <c r="BW8" i="2"/>
  <c r="BV8" i="2"/>
  <c r="BW7" i="2"/>
  <c r="BV51" i="2" l="1"/>
  <c r="BV49" i="2"/>
  <c r="BV50" i="2"/>
  <c r="BV48" i="2"/>
  <c r="BV44" i="2"/>
  <c r="BV45" i="2"/>
  <c r="BV46" i="2"/>
  <c r="BV47" i="2"/>
  <c r="BV41" i="2"/>
  <c r="BV40" i="2"/>
  <c r="BV39" i="2"/>
  <c r="BV38" i="2"/>
  <c r="BV37" i="2"/>
  <c r="BV34" i="2"/>
  <c r="BV28" i="2"/>
  <c r="BV27" i="2"/>
  <c r="BV29" i="2"/>
  <c r="BV26" i="2"/>
  <c r="BV13" i="2"/>
  <c r="BV12" i="2"/>
  <c r="BV9" i="2"/>
  <c r="BV7" i="2"/>
  <c r="O33" i="7" l="1"/>
  <c r="O31" i="7"/>
  <c r="O18" i="7"/>
  <c r="O7" i="7"/>
  <c r="AC63" i="6"/>
  <c r="AC62" i="6" s="1"/>
  <c r="AC67" i="6" s="1"/>
  <c r="AA63" i="6"/>
  <c r="AC66" i="6"/>
  <c r="AC65" i="6"/>
  <c r="AC61" i="6"/>
  <c r="AA56" i="6"/>
  <c r="Z56" i="6"/>
  <c r="Y56" i="6"/>
  <c r="X56" i="6"/>
  <c r="W56" i="6"/>
  <c r="V56" i="6"/>
  <c r="U56" i="6"/>
  <c r="T56" i="6"/>
  <c r="S56" i="6"/>
  <c r="R56" i="6"/>
  <c r="Q56" i="6"/>
  <c r="P56" i="6"/>
  <c r="O56" i="6"/>
  <c r="N56" i="6"/>
  <c r="M56" i="6"/>
  <c r="L56" i="6"/>
  <c r="K56" i="6"/>
  <c r="J56" i="6"/>
  <c r="I56" i="6"/>
  <c r="H56" i="6"/>
  <c r="G56" i="6"/>
  <c r="F56" i="6"/>
  <c r="E56" i="6"/>
  <c r="D56" i="6"/>
  <c r="C56" i="6"/>
  <c r="B56" i="6"/>
  <c r="AB56" i="6"/>
  <c r="AC56" i="6"/>
  <c r="AC57" i="6"/>
  <c r="AC55" i="6"/>
  <c r="AC53" i="6"/>
  <c r="AA53" i="6"/>
  <c r="AA52" i="6"/>
  <c r="AC51" i="6"/>
  <c r="AC47" i="6"/>
  <c r="AC46" i="6"/>
  <c r="AC45" i="6"/>
  <c r="AC44" i="6"/>
  <c r="AC40" i="6"/>
  <c r="AC11" i="6"/>
  <c r="O57" i="5"/>
  <c r="O55" i="5"/>
  <c r="O44" i="5"/>
  <c r="O42" i="5"/>
  <c r="O39" i="5"/>
  <c r="O37" i="5"/>
  <c r="O24" i="5"/>
  <c r="O34" i="5"/>
  <c r="O33" i="5"/>
  <c r="O31" i="5"/>
  <c r="O30" i="5"/>
  <c r="O22" i="5"/>
  <c r="O20" i="5"/>
  <c r="O53" i="5" s="1"/>
  <c r="P12" i="1"/>
  <c r="P11" i="1"/>
  <c r="P10" i="1"/>
  <c r="O75" i="7" l="1"/>
  <c r="O74" i="7"/>
  <c r="O73" i="7"/>
  <c r="O68" i="7"/>
  <c r="O64" i="7"/>
  <c r="O63" i="7"/>
  <c r="R23" i="7"/>
  <c r="S23" i="7"/>
  <c r="T23" i="7"/>
  <c r="U23" i="7"/>
  <c r="V23" i="7"/>
  <c r="W23" i="7"/>
  <c r="X23" i="7"/>
  <c r="Y23" i="7"/>
  <c r="Z23" i="7"/>
  <c r="AA23" i="7"/>
  <c r="AB23" i="7"/>
  <c r="AC23" i="7"/>
  <c r="AD23" i="7"/>
  <c r="AE23" i="7"/>
  <c r="AF23" i="7"/>
  <c r="AG23" i="7"/>
  <c r="AH23" i="7"/>
  <c r="AI23" i="7"/>
  <c r="AJ23" i="7"/>
  <c r="AK23" i="7"/>
  <c r="AL23" i="7"/>
  <c r="AM23" i="7"/>
  <c r="AN23" i="7"/>
  <c r="AO23" i="7"/>
  <c r="AP23" i="7"/>
  <c r="AQ23" i="7"/>
  <c r="Q23" i="7"/>
  <c r="O62" i="7"/>
  <c r="O61" i="7"/>
  <c r="O57" i="7"/>
  <c r="O56" i="7"/>
  <c r="O55" i="7"/>
  <c r="O54" i="7"/>
  <c r="O53" i="7"/>
  <c r="O52" i="7"/>
  <c r="O51" i="7"/>
  <c r="O50" i="7"/>
  <c r="O49" i="7"/>
  <c r="O48" i="7"/>
  <c r="O47" i="7"/>
  <c r="O43" i="7"/>
  <c r="O42" i="7"/>
  <c r="O35" i="7"/>
  <c r="AR35" i="7" s="1"/>
  <c r="O36" i="7"/>
  <c r="AR36" i="7" s="1"/>
  <c r="N36" i="7"/>
  <c r="N35" i="7"/>
  <c r="N33" i="7"/>
  <c r="L36" i="7"/>
  <c r="K36" i="7"/>
  <c r="J36" i="7"/>
  <c r="I36" i="7"/>
  <c r="H36" i="7"/>
  <c r="G36" i="7"/>
  <c r="F36" i="7"/>
  <c r="E36" i="7"/>
  <c r="D36" i="7"/>
  <c r="C36" i="7"/>
  <c r="B36" i="7"/>
  <c r="L35" i="7"/>
  <c r="K35" i="7"/>
  <c r="J35" i="7"/>
  <c r="I35" i="7"/>
  <c r="H35" i="7"/>
  <c r="G35" i="7"/>
  <c r="F35" i="7"/>
  <c r="E35" i="7"/>
  <c r="D35" i="7"/>
  <c r="C35" i="7"/>
  <c r="B35" i="7"/>
  <c r="M36" i="7"/>
  <c r="M35" i="7"/>
  <c r="O40" i="7"/>
  <c r="O39" i="7"/>
  <c r="O38" i="7"/>
  <c r="O37" i="7"/>
  <c r="O34" i="7"/>
  <c r="O32" i="7"/>
  <c r="O41" i="7" s="1"/>
  <c r="O15" i="7"/>
  <c r="AR15" i="7" s="1"/>
  <c r="N15" i="7"/>
  <c r="M15" i="7"/>
  <c r="L15" i="7"/>
  <c r="K15" i="7"/>
  <c r="J15" i="7"/>
  <c r="I15" i="7"/>
  <c r="H15" i="7"/>
  <c r="G15" i="7"/>
  <c r="F15" i="7"/>
  <c r="E15" i="7"/>
  <c r="D15" i="7"/>
  <c r="C15" i="7"/>
  <c r="B15" i="7"/>
  <c r="B23" i="7"/>
  <c r="C23" i="7"/>
  <c r="D23" i="7"/>
  <c r="E23" i="7"/>
  <c r="F23" i="7"/>
  <c r="G23" i="7"/>
  <c r="H23" i="7"/>
  <c r="I23" i="7"/>
  <c r="J23" i="7"/>
  <c r="K23" i="7"/>
  <c r="L23" i="7"/>
  <c r="M23" i="7"/>
  <c r="N23" i="7"/>
  <c r="O23" i="7"/>
  <c r="AR23" i="7" s="1"/>
  <c r="O25" i="7"/>
  <c r="O26" i="7"/>
  <c r="O22" i="7"/>
  <c r="O21" i="7"/>
  <c r="O20" i="7"/>
  <c r="O19" i="7"/>
  <c r="O14" i="7"/>
  <c r="O16" i="7"/>
  <c r="O17" i="7"/>
  <c r="O27" i="7"/>
  <c r="O28" i="7"/>
  <c r="O29" i="7"/>
  <c r="O30" i="7"/>
  <c r="O13" i="7"/>
  <c r="O12" i="7"/>
  <c r="O11" i="7"/>
  <c r="O10" i="7"/>
  <c r="V27" i="6"/>
  <c r="V23" i="6"/>
  <c r="X18" i="6"/>
  <c r="X23" i="6"/>
  <c r="Z27" i="6"/>
  <c r="Z28" i="6"/>
  <c r="Z26" i="6"/>
  <c r="Z23" i="6" s="1"/>
  <c r="Z22" i="6"/>
  <c r="Z18" i="6" s="1"/>
  <c r="AC20" i="6"/>
  <c r="AC18" i="6" s="1"/>
  <c r="AA20" i="6"/>
  <c r="AC21" i="6"/>
  <c r="AA21" i="6"/>
  <c r="AC19" i="6"/>
  <c r="AA19" i="6"/>
  <c r="AC26" i="6"/>
  <c r="AA26" i="6"/>
  <c r="AA24" i="6"/>
  <c r="AC24" i="6"/>
  <c r="AC27" i="6"/>
  <c r="AA27" i="6"/>
  <c r="AC29" i="6"/>
  <c r="AA29" i="6"/>
  <c r="AC28" i="6"/>
  <c r="AC30" i="6"/>
  <c r="AC31" i="6"/>
  <c r="AC32" i="6"/>
  <c r="AC22" i="6"/>
  <c r="AC14" i="6"/>
  <c r="AC12" i="6"/>
  <c r="AC13" i="6"/>
  <c r="AC10" i="6"/>
  <c r="AC9" i="6"/>
  <c r="AC8" i="6"/>
  <c r="AC15" i="6" s="1"/>
  <c r="AB8" i="6"/>
  <c r="AR10" i="5"/>
  <c r="AR11" i="5"/>
  <c r="AR12" i="5"/>
  <c r="O43" i="5"/>
  <c r="AR43" i="5" s="1"/>
  <c r="O41" i="5"/>
  <c r="O40" i="5"/>
  <c r="N41" i="5"/>
  <c r="N40" i="5"/>
  <c r="O38" i="5"/>
  <c r="O36" i="5"/>
  <c r="O35" i="5"/>
  <c r="N36" i="5"/>
  <c r="N35" i="5"/>
  <c r="M35" i="5"/>
  <c r="O32" i="5"/>
  <c r="O28" i="5"/>
  <c r="O27" i="5"/>
  <c r="O26" i="5"/>
  <c r="O23" i="5"/>
  <c r="O21" i="5"/>
  <c r="O19" i="5"/>
  <c r="O17" i="5"/>
  <c r="O13" i="5"/>
  <c r="O9" i="5"/>
  <c r="N13" i="5"/>
  <c r="N9" i="5"/>
  <c r="P28" i="1"/>
  <c r="P29" i="1"/>
  <c r="P27" i="1"/>
  <c r="P26" i="1"/>
  <c r="P25" i="1"/>
  <c r="P24" i="1"/>
  <c r="P21" i="1"/>
  <c r="P20" i="1"/>
  <c r="P19" i="1"/>
  <c r="P18" i="1"/>
  <c r="P17" i="1"/>
  <c r="P16" i="1"/>
  <c r="P15" i="1"/>
  <c r="O8" i="1"/>
  <c r="O7" i="1"/>
  <c r="P9" i="1"/>
  <c r="P8" i="1"/>
  <c r="P7" i="1"/>
  <c r="O29" i="5" l="1"/>
  <c r="O58" i="7"/>
  <c r="O51" i="5"/>
  <c r="O52" i="5"/>
  <c r="O44" i="7"/>
  <c r="AC23" i="6"/>
  <c r="O54" i="5" l="1"/>
  <c r="P43" i="1"/>
  <c r="BS18" i="2"/>
  <c r="O56" i="5" l="1"/>
  <c r="P47" i="2"/>
  <c r="P45" i="2"/>
  <c r="P46" i="2"/>
  <c r="P44" i="2"/>
  <c r="P32" i="2"/>
  <c r="P27" i="2"/>
  <c r="P30" i="2"/>
  <c r="P31" i="2"/>
  <c r="P33" i="2"/>
  <c r="P24" i="2"/>
  <c r="P17" i="2"/>
  <c r="P9" i="2"/>
  <c r="P35" i="2" l="1"/>
  <c r="O58" i="5"/>
  <c r="O7" i="2"/>
  <c r="P42" i="1" l="1"/>
  <c r="P39" i="1"/>
  <c r="P38" i="1"/>
  <c r="P37" i="1"/>
  <c r="P34" i="1"/>
  <c r="P33" i="1"/>
  <c r="P32" i="1"/>
  <c r="BU51" i="2"/>
  <c r="BU49" i="2"/>
  <c r="BU50" i="2"/>
  <c r="BU48" i="2"/>
  <c r="BU41" i="2"/>
  <c r="BU39" i="2"/>
  <c r="BU40" i="2"/>
  <c r="BU38" i="2"/>
  <c r="BU37" i="2"/>
  <c r="BU36" i="2"/>
  <c r="BU29" i="2"/>
  <c r="BU28" i="2"/>
  <c r="BU7" i="2"/>
  <c r="BU18" i="2"/>
  <c r="BU14" i="2"/>
  <c r="BU13" i="2"/>
  <c r="BU12" i="2"/>
  <c r="BU8" i="2"/>
  <c r="BT8" i="2"/>
  <c r="BS8" i="2"/>
  <c r="BR8" i="2"/>
  <c r="BU26" i="2"/>
  <c r="BT51" i="2" l="1"/>
  <c r="P51" i="2" s="1"/>
  <c r="BT50" i="2"/>
  <c r="P50" i="2" s="1"/>
  <c r="BT49" i="2"/>
  <c r="P49" i="2" s="1"/>
  <c r="BT48" i="2"/>
  <c r="P48" i="2" s="1"/>
  <c r="BT41" i="2"/>
  <c r="P41" i="2" s="1"/>
  <c r="BT40" i="2"/>
  <c r="P40" i="2" s="1"/>
  <c r="BT39" i="2"/>
  <c r="P39" i="2" s="1"/>
  <c r="BT38" i="2"/>
  <c r="P38" i="2" s="1"/>
  <c r="BT37" i="2"/>
  <c r="BT36" i="2"/>
  <c r="BT29" i="2"/>
  <c r="P29" i="2" s="1"/>
  <c r="BT28" i="2"/>
  <c r="P28" i="2" s="1"/>
  <c r="P36" i="2" s="1"/>
  <c r="BT26" i="2"/>
  <c r="P26" i="2" s="1"/>
  <c r="P34" i="2" s="1"/>
  <c r="BT18" i="2"/>
  <c r="P18" i="2" s="1"/>
  <c r="BT14" i="2"/>
  <c r="BT13" i="2"/>
  <c r="P13" i="2" s="1"/>
  <c r="BT12" i="2"/>
  <c r="P12" i="2" s="1"/>
  <c r="BT7" i="2"/>
  <c r="P7" i="2" s="1"/>
  <c r="P14" i="2" l="1"/>
  <c r="AR75" i="7"/>
  <c r="AQ74" i="7" l="1"/>
  <c r="AR74" i="7" s="1"/>
  <c r="AQ73" i="7"/>
  <c r="AR73" i="7" s="1"/>
  <c r="AQ69" i="7"/>
  <c r="AQ68" i="7"/>
  <c r="AR68" i="7" s="1"/>
  <c r="AQ67" i="7"/>
  <c r="AQ66" i="7"/>
  <c r="AQ65" i="7"/>
  <c r="AQ64" i="7"/>
  <c r="AR64" i="7" s="1"/>
  <c r="AQ63" i="7"/>
  <c r="AR63" i="7" s="1"/>
  <c r="AQ62" i="7"/>
  <c r="AR62" i="7" s="1"/>
  <c r="AQ61" i="7"/>
  <c r="AQ57" i="7"/>
  <c r="AR57" i="7" s="1"/>
  <c r="AQ56" i="7"/>
  <c r="AR56" i="7" s="1"/>
  <c r="AQ55" i="7"/>
  <c r="AR55" i="7" s="1"/>
  <c r="AQ54" i="7"/>
  <c r="AR54" i="7" s="1"/>
  <c r="AQ53" i="7"/>
  <c r="AR53" i="7" s="1"/>
  <c r="AO52" i="7"/>
  <c r="AO51" i="7"/>
  <c r="AQ52" i="7"/>
  <c r="AR52" i="7" s="1"/>
  <c r="AQ51" i="7"/>
  <c r="AR51" i="7" s="1"/>
  <c r="AQ50" i="7"/>
  <c r="AR50" i="7" s="1"/>
  <c r="AQ49" i="7"/>
  <c r="AR49" i="7" s="1"/>
  <c r="AQ48" i="7"/>
  <c r="AR48" i="7" s="1"/>
  <c r="AQ47" i="7"/>
  <c r="AR47" i="7" s="1"/>
  <c r="AQ43" i="7"/>
  <c r="AR43" i="7" s="1"/>
  <c r="AQ42" i="7"/>
  <c r="AR42" i="7" s="1"/>
  <c r="AQ40" i="7"/>
  <c r="AR40" i="7" s="1"/>
  <c r="AQ39" i="7"/>
  <c r="AR39" i="7" s="1"/>
  <c r="AR38" i="7"/>
  <c r="AQ37" i="7"/>
  <c r="AR37" i="7" s="1"/>
  <c r="AR34" i="7"/>
  <c r="AO32" i="7"/>
  <c r="AR33" i="7"/>
  <c r="AQ32" i="7"/>
  <c r="AR32" i="7" s="1"/>
  <c r="AQ13" i="7"/>
  <c r="AR13" i="7" s="1"/>
  <c r="AO13" i="7"/>
  <c r="AQ12" i="7"/>
  <c r="AR12" i="7" s="1"/>
  <c r="AQ30" i="7"/>
  <c r="AR30" i="7" s="1"/>
  <c r="AQ29" i="7"/>
  <c r="AR29" i="7" s="1"/>
  <c r="AQ28" i="7"/>
  <c r="AR28" i="7" s="1"/>
  <c r="AQ27" i="7"/>
  <c r="AR27" i="7" s="1"/>
  <c r="AQ26" i="7"/>
  <c r="AR26" i="7" s="1"/>
  <c r="AQ25" i="7"/>
  <c r="AR25" i="7" s="1"/>
  <c r="AQ22" i="7"/>
  <c r="AR22" i="7" s="1"/>
  <c r="AQ21" i="7"/>
  <c r="AR21" i="7" s="1"/>
  <c r="AQ20" i="7"/>
  <c r="AR20" i="7" s="1"/>
  <c r="AQ19" i="7"/>
  <c r="AR19" i="7" s="1"/>
  <c r="AQ18" i="7"/>
  <c r="AR18" i="7" s="1"/>
  <c r="AQ17" i="7"/>
  <c r="AR17" i="7" s="1"/>
  <c r="AQ16" i="7"/>
  <c r="AR16" i="7" s="1"/>
  <c r="AQ14" i="7"/>
  <c r="AR14" i="7" s="1"/>
  <c r="AQ11" i="7"/>
  <c r="AR11" i="7" s="1"/>
  <c r="AQ10" i="7"/>
  <c r="AR10" i="7" s="1"/>
  <c r="AO10" i="7"/>
  <c r="AQ7" i="7"/>
  <c r="AB68" i="6"/>
  <c r="AB66" i="6"/>
  <c r="AB67" i="6"/>
  <c r="AB65" i="6"/>
  <c r="AB64" i="6"/>
  <c r="AB63" i="6"/>
  <c r="AB62" i="6" s="1"/>
  <c r="AB58" i="6"/>
  <c r="AB57" i="6"/>
  <c r="AB55" i="6"/>
  <c r="AB52" i="6"/>
  <c r="AB53" i="6"/>
  <c r="AB51" i="6"/>
  <c r="AB48" i="6"/>
  <c r="AB46" i="6"/>
  <c r="AA47" i="6"/>
  <c r="AB47" i="6"/>
  <c r="AB45" i="6"/>
  <c r="AB44" i="6"/>
  <c r="AB42" i="6"/>
  <c r="AB41" i="6"/>
  <c r="AB40" i="6" s="1"/>
  <c r="AB36" i="6"/>
  <c r="AB34" i="6"/>
  <c r="AB32" i="6"/>
  <c r="AB31" i="6"/>
  <c r="AB30" i="6"/>
  <c r="AB28" i="6"/>
  <c r="AB27" i="6"/>
  <c r="AB26" i="6"/>
  <c r="AB25" i="6"/>
  <c r="AB24" i="6"/>
  <c r="AB23" i="6" s="1"/>
  <c r="AB22" i="6"/>
  <c r="AB21" i="6"/>
  <c r="AB20" i="6"/>
  <c r="AB19" i="6"/>
  <c r="AB18" i="6" s="1"/>
  <c r="AB14" i="6"/>
  <c r="AB13" i="6"/>
  <c r="AB12" i="6"/>
  <c r="AB11" i="6"/>
  <c r="AB10" i="6"/>
  <c r="AB9" i="6"/>
  <c r="AO55" i="5"/>
  <c r="AP55" i="5" s="1"/>
  <c r="AO53" i="5"/>
  <c r="AO52" i="5"/>
  <c r="AQ57" i="5"/>
  <c r="AR57" i="5" s="1"/>
  <c r="AQ55" i="5"/>
  <c r="AR55" i="5" s="1"/>
  <c r="AQ38" i="5"/>
  <c r="AR38" i="5" s="1"/>
  <c r="AQ50" i="5"/>
  <c r="AQ32" i="5"/>
  <c r="AR32" i="5" s="1"/>
  <c r="AQ30" i="5"/>
  <c r="AR30" i="5" s="1"/>
  <c r="AQ28" i="5"/>
  <c r="AR28" i="5" s="1"/>
  <c r="AQ27" i="5"/>
  <c r="AQ26" i="5"/>
  <c r="AR26" i="5" s="1"/>
  <c r="AQ23" i="5"/>
  <c r="AR23" i="5" s="1"/>
  <c r="AQ22" i="5"/>
  <c r="AR22" i="5" s="1"/>
  <c r="AQ21" i="5"/>
  <c r="AR21" i="5" s="1"/>
  <c r="AQ20" i="5"/>
  <c r="AO9" i="5"/>
  <c r="AP9" i="5" s="1"/>
  <c r="AQ19" i="5"/>
  <c r="AR19" i="5" s="1"/>
  <c r="AQ13" i="5"/>
  <c r="AR13" i="5" s="1"/>
  <c r="AQ9" i="5"/>
  <c r="AR9" i="5" s="1"/>
  <c r="AR31" i="7" l="1"/>
  <c r="AQ58" i="7"/>
  <c r="AQ70" i="7"/>
  <c r="AR61" i="7"/>
  <c r="AO31" i="7"/>
  <c r="AO41" i="7" s="1"/>
  <c r="AO44" i="7" s="1"/>
  <c r="AQ31" i="7"/>
  <c r="AQ41" i="7" s="1"/>
  <c r="AR7" i="7"/>
  <c r="AB15" i="6"/>
  <c r="AQ53" i="5"/>
  <c r="AR20" i="5"/>
  <c r="AO17" i="5"/>
  <c r="AO51" i="5" s="1"/>
  <c r="AO54" i="5" s="1"/>
  <c r="AO56" i="5" s="1"/>
  <c r="AO58" i="5" s="1"/>
  <c r="AQ29" i="5"/>
  <c r="AR27" i="5"/>
  <c r="AQ52" i="5"/>
  <c r="AR52" i="5" s="1"/>
  <c r="AQ17" i="5"/>
  <c r="O51" i="2"/>
  <c r="O50" i="2"/>
  <c r="O49" i="2"/>
  <c r="O47" i="2"/>
  <c r="O37" i="2" s="1"/>
  <c r="O46" i="2"/>
  <c r="O45" i="2"/>
  <c r="O41" i="2"/>
  <c r="O40" i="2"/>
  <c r="O39" i="2"/>
  <c r="O33" i="2"/>
  <c r="O32" i="2"/>
  <c r="O31" i="2"/>
  <c r="O29" i="2"/>
  <c r="O28" i="2"/>
  <c r="O27" i="2"/>
  <c r="O36" i="2" l="1"/>
  <c r="O35" i="2"/>
  <c r="AR17" i="5"/>
  <c r="AQ24" i="5"/>
  <c r="AR24" i="5" s="1"/>
  <c r="AQ51" i="5"/>
  <c r="AR51" i="5" s="1"/>
  <c r="AQ31" i="5"/>
  <c r="AR29" i="5"/>
  <c r="AR53" i="5"/>
  <c r="AQ44" i="7"/>
  <c r="O18" i="2"/>
  <c r="O17" i="2"/>
  <c r="O13" i="2"/>
  <c r="O12" i="2"/>
  <c r="O8" i="2"/>
  <c r="O24" i="2"/>
  <c r="O14" i="2"/>
  <c r="R75" i="7"/>
  <c r="T75" i="7"/>
  <c r="V75" i="7"/>
  <c r="V73" i="7"/>
  <c r="T73" i="7"/>
  <c r="R73" i="7"/>
  <c r="AN73" i="7"/>
  <c r="AL73" i="7"/>
  <c r="AJ73" i="7"/>
  <c r="AH73" i="7"/>
  <c r="AF73" i="7"/>
  <c r="AD73" i="7"/>
  <c r="AB73" i="7"/>
  <c r="Z73" i="7"/>
  <c r="X73" i="7"/>
  <c r="X75" i="7"/>
  <c r="Z75" i="7"/>
  <c r="AB75" i="7"/>
  <c r="AD75" i="7"/>
  <c r="AF75" i="7"/>
  <c r="AH75" i="7"/>
  <c r="AL75" i="7"/>
  <c r="AJ75" i="7"/>
  <c r="AQ56" i="5" l="1"/>
  <c r="AQ33" i="5"/>
  <c r="AR31" i="5"/>
  <c r="AQ72" i="7"/>
  <c r="C73" i="7"/>
  <c r="D73" i="7"/>
  <c r="E73" i="7"/>
  <c r="F73" i="7"/>
  <c r="G73" i="7"/>
  <c r="H73" i="7"/>
  <c r="I73" i="7"/>
  <c r="J73" i="7"/>
  <c r="K73" i="7"/>
  <c r="L73" i="7"/>
  <c r="M73" i="7"/>
  <c r="N73" i="7"/>
  <c r="AN75" i="7"/>
  <c r="AP74" i="7"/>
  <c r="AP73" i="7"/>
  <c r="AP75" i="7"/>
  <c r="AP10" i="7"/>
  <c r="AP11" i="7"/>
  <c r="AP12" i="7"/>
  <c r="AP13" i="7"/>
  <c r="AP16" i="7"/>
  <c r="AP17" i="7"/>
  <c r="AP18" i="7"/>
  <c r="AP20" i="7"/>
  <c r="AP22" i="7"/>
  <c r="AP25" i="7"/>
  <c r="AP27" i="7"/>
  <c r="AP28" i="7"/>
  <c r="AP29" i="7"/>
  <c r="AP30" i="7"/>
  <c r="AP31" i="7"/>
  <c r="AP32" i="7"/>
  <c r="AP33" i="7"/>
  <c r="AP34" i="7"/>
  <c r="AP37" i="7"/>
  <c r="AP38" i="7"/>
  <c r="AP39" i="7"/>
  <c r="AP42" i="7"/>
  <c r="AP43" i="7"/>
  <c r="AP47" i="7"/>
  <c r="AP48" i="7"/>
  <c r="AP49" i="7"/>
  <c r="AP50" i="7"/>
  <c r="AP51" i="7"/>
  <c r="AP52" i="7"/>
  <c r="AP53" i="7"/>
  <c r="AP54" i="7"/>
  <c r="AP55" i="7"/>
  <c r="AP56" i="7"/>
  <c r="AP63" i="7"/>
  <c r="AP64" i="7"/>
  <c r="AP65" i="7"/>
  <c r="O65" i="7" s="1"/>
  <c r="AP67" i="7"/>
  <c r="O67" i="7" s="1"/>
  <c r="AR67" i="7" s="1"/>
  <c r="AP68" i="7"/>
  <c r="AP7" i="7"/>
  <c r="AN70" i="7"/>
  <c r="AM70" i="7"/>
  <c r="N69" i="7"/>
  <c r="AP69" i="7" s="1"/>
  <c r="O69" i="7" s="1"/>
  <c r="AR69" i="7" s="1"/>
  <c r="N67" i="7"/>
  <c r="N66" i="7"/>
  <c r="AP66" i="7" s="1"/>
  <c r="O66" i="7" s="1"/>
  <c r="AR66" i="7" s="1"/>
  <c r="N65" i="7"/>
  <c r="N62" i="7"/>
  <c r="AP62" i="7" s="1"/>
  <c r="N61" i="7"/>
  <c r="AP61" i="7" s="1"/>
  <c r="N57" i="7"/>
  <c r="N58" i="7" s="1"/>
  <c r="N40" i="7"/>
  <c r="N41" i="7" s="1"/>
  <c r="N26" i="7"/>
  <c r="AP26" i="7" s="1"/>
  <c r="N21" i="7"/>
  <c r="AP21" i="7" s="1"/>
  <c r="N19" i="7"/>
  <c r="AP19" i="7" s="1"/>
  <c r="N14" i="7"/>
  <c r="AP14" i="7" s="1"/>
  <c r="Z63" i="6"/>
  <c r="Z62" i="6" s="1"/>
  <c r="Y62" i="6"/>
  <c r="AA62" i="6"/>
  <c r="AA64" i="6"/>
  <c r="AQ34" i="5" l="1"/>
  <c r="AR33" i="5"/>
  <c r="AQ58" i="5"/>
  <c r="AR58" i="5" s="1"/>
  <c r="AR56" i="5"/>
  <c r="N44" i="7"/>
  <c r="AP44" i="7" s="1"/>
  <c r="AP41" i="7"/>
  <c r="AR65" i="7"/>
  <c r="O70" i="7"/>
  <c r="O72" i="7" s="1"/>
  <c r="N70" i="7"/>
  <c r="N72" i="7" s="1"/>
  <c r="AP40" i="7"/>
  <c r="AP57" i="7"/>
  <c r="AA28" i="6"/>
  <c r="AA23" i="6" s="1"/>
  <c r="AA22" i="6"/>
  <c r="AA18" i="6" s="1"/>
  <c r="Y27" i="6"/>
  <c r="Y28" i="6"/>
  <c r="Y22" i="6"/>
  <c r="AA40" i="6"/>
  <c r="AA15" i="6"/>
  <c r="AP52" i="5"/>
  <c r="AP53" i="5"/>
  <c r="AP57" i="5"/>
  <c r="AP13" i="5"/>
  <c r="AP19" i="5"/>
  <c r="AP20" i="5"/>
  <c r="AP21" i="5"/>
  <c r="AP26" i="5"/>
  <c r="AP27" i="5"/>
  <c r="AP28" i="5"/>
  <c r="AP30" i="5"/>
  <c r="AP32" i="5"/>
  <c r="AP38" i="5"/>
  <c r="AP43" i="5"/>
  <c r="AP50" i="5"/>
  <c r="N53" i="5"/>
  <c r="N52" i="5"/>
  <c r="N51" i="5"/>
  <c r="N54" i="5" s="1"/>
  <c r="N56" i="5" s="1"/>
  <c r="N58" i="5" s="1"/>
  <c r="N29" i="5"/>
  <c r="N23" i="5"/>
  <c r="N22" i="5"/>
  <c r="N24" i="5" s="1"/>
  <c r="N16" i="5"/>
  <c r="AP16" i="5" s="1"/>
  <c r="N15" i="5"/>
  <c r="AP15" i="5" s="1"/>
  <c r="N14" i="5"/>
  <c r="AP14" i="5" s="1"/>
  <c r="N12" i="5"/>
  <c r="AP12" i="5" s="1"/>
  <c r="N11" i="5"/>
  <c r="AP11" i="5" s="1"/>
  <c r="N10" i="5"/>
  <c r="AP10" i="5" s="1"/>
  <c r="O27" i="1"/>
  <c r="N27" i="1"/>
  <c r="O25" i="1"/>
  <c r="N25" i="1"/>
  <c r="O16" i="1"/>
  <c r="AP22" i="5" l="1"/>
  <c r="AQ37" i="5"/>
  <c r="AR34" i="5"/>
  <c r="BQ48" i="2"/>
  <c r="BQ44" i="2"/>
  <c r="BQ38" i="2"/>
  <c r="BQ34" i="2"/>
  <c r="BQ30" i="2"/>
  <c r="BQ26" i="2"/>
  <c r="AQ39" i="5" l="1"/>
  <c r="AR39" i="5" s="1"/>
  <c r="AR37" i="5"/>
  <c r="AQ42" i="5"/>
  <c r="N51" i="2"/>
  <c r="N47" i="2"/>
  <c r="N41" i="2"/>
  <c r="N37" i="2"/>
  <c r="N33" i="2"/>
  <c r="N29" i="2"/>
  <c r="N35" i="2"/>
  <c r="N36" i="2"/>
  <c r="N34" i="2"/>
  <c r="N44" i="2"/>
  <c r="N27" i="2"/>
  <c r="N28" i="2"/>
  <c r="N30" i="2"/>
  <c r="N31" i="2"/>
  <c r="N32" i="2"/>
  <c r="N38" i="2"/>
  <c r="N39" i="2"/>
  <c r="N40" i="2"/>
  <c r="N45" i="2"/>
  <c r="N46" i="2"/>
  <c r="N48" i="2"/>
  <c r="N49" i="2"/>
  <c r="N50" i="2"/>
  <c r="N26" i="2"/>
  <c r="BO48" i="2"/>
  <c r="BP48" i="2"/>
  <c r="BN48" i="2"/>
  <c r="O48" i="2" s="1"/>
  <c r="BO44" i="2"/>
  <c r="BP44" i="2"/>
  <c r="BN44" i="2"/>
  <c r="O44" i="2" s="1"/>
  <c r="BO38" i="2"/>
  <c r="BP38" i="2"/>
  <c r="BN38" i="2"/>
  <c r="O38" i="2" s="1"/>
  <c r="BO34" i="2"/>
  <c r="BP34" i="2"/>
  <c r="BN34" i="2"/>
  <c r="BO30" i="2"/>
  <c r="BP30" i="2"/>
  <c r="BN30" i="2"/>
  <c r="BO26" i="2"/>
  <c r="BP26" i="2"/>
  <c r="BN26" i="2"/>
  <c r="O26" i="2" s="1"/>
  <c r="N8" i="2"/>
  <c r="N12" i="2"/>
  <c r="N13" i="2"/>
  <c r="N14" i="2" s="1"/>
  <c r="N17" i="2"/>
  <c r="N18" i="2"/>
  <c r="N7" i="2"/>
  <c r="O34" i="2" l="1"/>
  <c r="AQ44" i="5"/>
  <c r="AR44" i="5" s="1"/>
  <c r="AR42" i="5"/>
  <c r="O30" i="2"/>
  <c r="BO24" i="2"/>
  <c r="BP24" i="2"/>
  <c r="BN24" i="2"/>
  <c r="N24" i="2"/>
  <c r="AO29" i="5" l="1"/>
  <c r="AP29" i="5" s="1"/>
  <c r="X67" i="6" l="1"/>
  <c r="B22" i="7"/>
  <c r="C22" i="7"/>
  <c r="D22" i="7"/>
  <c r="E22" i="7"/>
  <c r="F22" i="7"/>
  <c r="G22" i="7"/>
  <c r="H22" i="7"/>
  <c r="I22" i="7"/>
  <c r="J22" i="7"/>
  <c r="K22" i="7"/>
  <c r="L22" i="7"/>
  <c r="M22" i="7"/>
  <c r="AO23" i="5"/>
  <c r="AP23" i="5" s="1"/>
  <c r="Y40" i="6"/>
  <c r="AO50" i="5"/>
  <c r="AP17" i="5" l="1"/>
  <c r="AO70" i="7"/>
  <c r="AO58" i="7"/>
  <c r="Z40" i="6"/>
  <c r="Z15" i="6"/>
  <c r="AO24" i="5"/>
  <c r="AP24" i="5" s="1"/>
  <c r="AO72" i="7" l="1"/>
  <c r="AP70" i="7"/>
  <c r="AP58" i="7"/>
  <c r="AP51" i="5"/>
  <c r="AO31" i="5"/>
  <c r="AP31" i="5" s="1"/>
  <c r="AP72" i="7" l="1"/>
  <c r="AO33" i="5"/>
  <c r="AP33" i="5" s="1"/>
  <c r="AP58" i="5" l="1"/>
  <c r="AP56" i="5"/>
  <c r="AO34" i="5"/>
  <c r="AP34" i="5" l="1"/>
  <c r="AO37" i="5"/>
  <c r="AO42" i="5" s="1"/>
  <c r="AP37" i="5"/>
  <c r="M10" i="7"/>
  <c r="M11" i="7"/>
  <c r="M12" i="7"/>
  <c r="M13" i="7"/>
  <c r="M14" i="7"/>
  <c r="M16" i="7"/>
  <c r="M17" i="7"/>
  <c r="M18" i="7"/>
  <c r="M19" i="7"/>
  <c r="M20" i="7"/>
  <c r="M21" i="7"/>
  <c r="M25" i="7"/>
  <c r="M26" i="7"/>
  <c r="M27" i="7"/>
  <c r="M28" i="7"/>
  <c r="M29" i="7"/>
  <c r="M30" i="7"/>
  <c r="M32" i="7"/>
  <c r="M33" i="7"/>
  <c r="M37" i="7"/>
  <c r="M39" i="7"/>
  <c r="M34" i="7"/>
  <c r="M38" i="7"/>
  <c r="M40" i="7"/>
  <c r="M42" i="7"/>
  <c r="M43" i="7"/>
  <c r="M47" i="7"/>
  <c r="M48" i="7"/>
  <c r="M49" i="7"/>
  <c r="M50" i="7"/>
  <c r="M51" i="7"/>
  <c r="M52" i="7"/>
  <c r="M53" i="7"/>
  <c r="M54" i="7"/>
  <c r="M55" i="7"/>
  <c r="M56" i="7"/>
  <c r="M57" i="7"/>
  <c r="M61" i="7"/>
  <c r="M62" i="7"/>
  <c r="M63" i="7"/>
  <c r="M64" i="7"/>
  <c r="M65" i="7"/>
  <c r="M66" i="7"/>
  <c r="M67" i="7"/>
  <c r="M68" i="7"/>
  <c r="M69" i="7"/>
  <c r="M74" i="7"/>
  <c r="M7" i="7"/>
  <c r="M55" i="5"/>
  <c r="M57" i="5"/>
  <c r="M10" i="5"/>
  <c r="M11" i="5"/>
  <c r="M12" i="5"/>
  <c r="M13" i="5"/>
  <c r="M14" i="5"/>
  <c r="M15" i="5"/>
  <c r="M16" i="5"/>
  <c r="M17" i="5"/>
  <c r="M19" i="5"/>
  <c r="M20" i="5"/>
  <c r="M21" i="5"/>
  <c r="M22" i="5"/>
  <c r="M23" i="5"/>
  <c r="M26" i="5"/>
  <c r="M27" i="5"/>
  <c r="M28" i="5"/>
  <c r="M30" i="5"/>
  <c r="M31" i="5"/>
  <c r="M32" i="5"/>
  <c r="M36" i="5"/>
  <c r="M37" i="5"/>
  <c r="M38" i="5"/>
  <c r="M40" i="5"/>
  <c r="M41" i="5"/>
  <c r="M42" i="5"/>
  <c r="M43" i="5"/>
  <c r="M9" i="5"/>
  <c r="AO39" i="5" l="1"/>
  <c r="AP39" i="5" s="1"/>
  <c r="AP42" i="5"/>
  <c r="AO44" i="5" l="1"/>
  <c r="AP44" i="5" s="1"/>
  <c r="AM58" i="7"/>
  <c r="M58" i="7" s="1"/>
  <c r="AM31" i="7"/>
  <c r="X68" i="6"/>
  <c r="X53" i="6"/>
  <c r="X40" i="6"/>
  <c r="X15" i="6"/>
  <c r="AM53" i="5"/>
  <c r="M53" i="5" s="1"/>
  <c r="AM52" i="5"/>
  <c r="M52" i="5" s="1"/>
  <c r="AM51" i="5"/>
  <c r="AM44" i="5"/>
  <c r="M44" i="5" s="1"/>
  <c r="AM39" i="5"/>
  <c r="M39" i="5" s="1"/>
  <c r="AM33" i="5"/>
  <c r="AM29" i="5"/>
  <c r="M29" i="5" s="1"/>
  <c r="AM24" i="5"/>
  <c r="M24" i="5" s="1"/>
  <c r="M48" i="1"/>
  <c r="M34" i="1"/>
  <c r="AM34" i="5" l="1"/>
  <c r="M34" i="5" s="1"/>
  <c r="M33" i="5"/>
  <c r="AM54" i="5"/>
  <c r="M51" i="5"/>
  <c r="AM41" i="7"/>
  <c r="M31" i="7"/>
  <c r="L74" i="7"/>
  <c r="L70" i="7"/>
  <c r="L69" i="7"/>
  <c r="L68" i="7"/>
  <c r="L67" i="7"/>
  <c r="L66" i="7"/>
  <c r="L65" i="7"/>
  <c r="L64" i="7"/>
  <c r="L63" i="7"/>
  <c r="L62" i="7"/>
  <c r="L61" i="7"/>
  <c r="L58" i="7"/>
  <c r="L57" i="7"/>
  <c r="L56" i="7"/>
  <c r="L55" i="7"/>
  <c r="L54" i="7"/>
  <c r="L53" i="7"/>
  <c r="L52" i="7"/>
  <c r="L51" i="7"/>
  <c r="L50" i="7"/>
  <c r="L49" i="7"/>
  <c r="L48" i="7"/>
  <c r="L47" i="7"/>
  <c r="L44" i="7"/>
  <c r="L12" i="7"/>
  <c r="L13" i="7"/>
  <c r="L14" i="7"/>
  <c r="L16" i="7"/>
  <c r="L17" i="7"/>
  <c r="L18" i="7"/>
  <c r="L19" i="7"/>
  <c r="L20" i="7"/>
  <c r="L21" i="7"/>
  <c r="L26" i="7"/>
  <c r="L27" i="7"/>
  <c r="L28" i="7"/>
  <c r="L29" i="7"/>
  <c r="L30" i="7"/>
  <c r="L31" i="7"/>
  <c r="L32" i="7"/>
  <c r="L33" i="7"/>
  <c r="L37" i="7"/>
  <c r="L39" i="7"/>
  <c r="L34" i="7"/>
  <c r="L38" i="7"/>
  <c r="L40" i="7"/>
  <c r="L41" i="7"/>
  <c r="L42" i="7"/>
  <c r="L43" i="7"/>
  <c r="L11" i="7"/>
  <c r="L10" i="7"/>
  <c r="L7" i="7"/>
  <c r="L72" i="7" l="1"/>
  <c r="AM56" i="5"/>
  <c r="M54" i="5"/>
  <c r="AM44" i="7"/>
  <c r="M41" i="7"/>
  <c r="W40" i="6"/>
  <c r="L57" i="5"/>
  <c r="L58" i="5"/>
  <c r="M10" i="1" s="1"/>
  <c r="AL51" i="5"/>
  <c r="AL52" i="5"/>
  <c r="AL53" i="5"/>
  <c r="AK52" i="5"/>
  <c r="AK53" i="5"/>
  <c r="AK55" i="5"/>
  <c r="L7" i="5"/>
  <c r="L8" i="5"/>
  <c r="L9" i="5"/>
  <c r="M7" i="1" s="1"/>
  <c r="L10" i="5"/>
  <c r="L11" i="5"/>
  <c r="L12" i="5"/>
  <c r="L13" i="5"/>
  <c r="L14" i="5"/>
  <c r="L15" i="5"/>
  <c r="L16" i="5"/>
  <c r="L17" i="5"/>
  <c r="M9" i="1" s="1"/>
  <c r="L19" i="5"/>
  <c r="L20" i="5"/>
  <c r="L21" i="5"/>
  <c r="L22" i="5"/>
  <c r="L23" i="5"/>
  <c r="L24" i="5"/>
  <c r="L26" i="5"/>
  <c r="L27" i="5"/>
  <c r="L28" i="5"/>
  <c r="L29" i="5"/>
  <c r="L30" i="5"/>
  <c r="L31" i="5"/>
  <c r="L32" i="5"/>
  <c r="L33" i="5"/>
  <c r="L34" i="5"/>
  <c r="M12" i="1" s="1"/>
  <c r="L35" i="5"/>
  <c r="L36" i="5"/>
  <c r="L37" i="5"/>
  <c r="L38" i="5"/>
  <c r="L39" i="5"/>
  <c r="L40" i="5"/>
  <c r="L41" i="5"/>
  <c r="L42" i="5"/>
  <c r="L43" i="5"/>
  <c r="L44" i="5"/>
  <c r="L6" i="5"/>
  <c r="K6" i="5"/>
  <c r="AM58" i="5" l="1"/>
  <c r="M58" i="5" s="1"/>
  <c r="M56" i="5"/>
  <c r="AM72" i="7"/>
  <c r="M44" i="7"/>
  <c r="M72" i="7" s="1"/>
  <c r="L53" i="5"/>
  <c r="L52" i="5"/>
  <c r="AL54" i="5"/>
  <c r="AL56" i="5" s="1"/>
  <c r="L55" i="5"/>
  <c r="M12" i="2"/>
  <c r="M37" i="1" s="1"/>
  <c r="M50" i="2"/>
  <c r="M46" i="2" l="1"/>
  <c r="M45" i="2"/>
  <c r="M40" i="2"/>
  <c r="M39" i="2"/>
  <c r="M7" i="2"/>
  <c r="M32" i="1" s="1"/>
  <c r="AK51" i="5" l="1"/>
  <c r="V22" i="6"/>
  <c r="V18" i="6" s="1"/>
  <c r="L51" i="5" l="1"/>
  <c r="AK54" i="5"/>
  <c r="BG44" i="2"/>
  <c r="BF44" i="2"/>
  <c r="M44" i="2" s="1"/>
  <c r="BE44" i="2"/>
  <c r="BD44" i="2"/>
  <c r="BC44" i="2"/>
  <c r="BB44" i="2"/>
  <c r="L45" i="2"/>
  <c r="L46" i="2"/>
  <c r="L54" i="5" l="1"/>
  <c r="AK56" i="5"/>
  <c r="L56" i="5" s="1"/>
  <c r="M11" i="1" s="1"/>
  <c r="M32" i="2" l="1"/>
  <c r="M31" i="2"/>
  <c r="BG30" i="2"/>
  <c r="BF30" i="2"/>
  <c r="M30" i="2" l="1"/>
  <c r="K74" i="7" l="1"/>
  <c r="J74" i="7"/>
  <c r="I74" i="7"/>
  <c r="H74" i="7"/>
  <c r="G74" i="7"/>
  <c r="F74" i="7"/>
  <c r="E74" i="7"/>
  <c r="D74" i="7"/>
  <c r="C74" i="7"/>
  <c r="B74" i="7"/>
  <c r="K70" i="7"/>
  <c r="J70" i="7"/>
  <c r="I70" i="7"/>
  <c r="H70" i="7"/>
  <c r="G70" i="7"/>
  <c r="F70" i="7"/>
  <c r="E70" i="7"/>
  <c r="D70" i="7"/>
  <c r="C70" i="7"/>
  <c r="B70" i="7"/>
  <c r="K69" i="7"/>
  <c r="J69" i="7"/>
  <c r="I69" i="7"/>
  <c r="H69" i="7"/>
  <c r="G69" i="7"/>
  <c r="F69" i="7"/>
  <c r="E69" i="7"/>
  <c r="D69" i="7"/>
  <c r="C69" i="7"/>
  <c r="B69" i="7"/>
  <c r="K68" i="7"/>
  <c r="J68" i="7"/>
  <c r="I68" i="7"/>
  <c r="H68" i="7"/>
  <c r="G68" i="7"/>
  <c r="F68" i="7"/>
  <c r="E68" i="7"/>
  <c r="D68" i="7"/>
  <c r="C68" i="7"/>
  <c r="B68" i="7"/>
  <c r="K67" i="7"/>
  <c r="J67" i="7"/>
  <c r="I67" i="7"/>
  <c r="H67" i="7"/>
  <c r="G67" i="7"/>
  <c r="F67" i="7"/>
  <c r="E67" i="7"/>
  <c r="D67" i="7"/>
  <c r="C67" i="7"/>
  <c r="B67" i="7"/>
  <c r="K66" i="7"/>
  <c r="J66" i="7"/>
  <c r="I66" i="7"/>
  <c r="H66" i="7"/>
  <c r="G66" i="7"/>
  <c r="F66" i="7"/>
  <c r="E66" i="7"/>
  <c r="D66" i="7"/>
  <c r="C66" i="7"/>
  <c r="B66" i="7"/>
  <c r="K65" i="7"/>
  <c r="J65" i="7"/>
  <c r="I65" i="7"/>
  <c r="H65" i="7"/>
  <c r="G65" i="7"/>
  <c r="F65" i="7"/>
  <c r="E65" i="7"/>
  <c r="D65" i="7"/>
  <c r="C65" i="7"/>
  <c r="B65" i="7"/>
  <c r="K64" i="7"/>
  <c r="J64" i="7"/>
  <c r="I64" i="7"/>
  <c r="H64" i="7"/>
  <c r="G64" i="7"/>
  <c r="F64" i="7"/>
  <c r="E64" i="7"/>
  <c r="D64" i="7"/>
  <c r="C64" i="7"/>
  <c r="B64" i="7"/>
  <c r="K63" i="7"/>
  <c r="J63" i="7"/>
  <c r="I63" i="7"/>
  <c r="H63" i="7"/>
  <c r="G63" i="7"/>
  <c r="F63" i="7"/>
  <c r="E63" i="7"/>
  <c r="D63" i="7"/>
  <c r="C63" i="7"/>
  <c r="B63" i="7"/>
  <c r="K62" i="7"/>
  <c r="J62" i="7"/>
  <c r="I62" i="7"/>
  <c r="H62" i="7"/>
  <c r="G62" i="7"/>
  <c r="F62" i="7"/>
  <c r="E62" i="7"/>
  <c r="D62" i="7"/>
  <c r="C62" i="7"/>
  <c r="B62" i="7"/>
  <c r="K61" i="7"/>
  <c r="J61" i="7"/>
  <c r="I61" i="7"/>
  <c r="H61" i="7"/>
  <c r="G61" i="7"/>
  <c r="F61" i="7"/>
  <c r="E61" i="7"/>
  <c r="D61" i="7"/>
  <c r="C61" i="7"/>
  <c r="B61" i="7"/>
  <c r="K58" i="7"/>
  <c r="J58" i="7"/>
  <c r="I58" i="7"/>
  <c r="H58" i="7"/>
  <c r="G58" i="7"/>
  <c r="F58" i="7"/>
  <c r="E58" i="7"/>
  <c r="D58" i="7"/>
  <c r="C58" i="7"/>
  <c r="B58" i="7"/>
  <c r="K57" i="7"/>
  <c r="J57" i="7"/>
  <c r="I57" i="7"/>
  <c r="H57" i="7"/>
  <c r="G57" i="7"/>
  <c r="F57" i="7"/>
  <c r="E57" i="7"/>
  <c r="D57" i="7"/>
  <c r="C57" i="7"/>
  <c r="B57" i="7"/>
  <c r="K56" i="7"/>
  <c r="J56" i="7"/>
  <c r="I56" i="7"/>
  <c r="H56" i="7"/>
  <c r="G56" i="7"/>
  <c r="F56" i="7"/>
  <c r="E56" i="7"/>
  <c r="D56" i="7"/>
  <c r="C56" i="7"/>
  <c r="B56" i="7"/>
  <c r="K55" i="7"/>
  <c r="J55" i="7"/>
  <c r="I55" i="7"/>
  <c r="H55" i="7"/>
  <c r="G55" i="7"/>
  <c r="F55" i="7"/>
  <c r="E55" i="7"/>
  <c r="D55" i="7"/>
  <c r="C55" i="7"/>
  <c r="B55" i="7"/>
  <c r="K53" i="7"/>
  <c r="J53" i="7"/>
  <c r="I53" i="7"/>
  <c r="H53" i="7"/>
  <c r="G53" i="7"/>
  <c r="F53" i="7"/>
  <c r="E53" i="7"/>
  <c r="D53" i="7"/>
  <c r="C53" i="7"/>
  <c r="B53" i="7"/>
  <c r="K52" i="7"/>
  <c r="J52" i="7"/>
  <c r="I52" i="7"/>
  <c r="H52" i="7"/>
  <c r="G52" i="7"/>
  <c r="F52" i="7"/>
  <c r="E52" i="7"/>
  <c r="D52" i="7"/>
  <c r="C52" i="7"/>
  <c r="B52" i="7"/>
  <c r="K51" i="7"/>
  <c r="J51" i="7"/>
  <c r="I51" i="7"/>
  <c r="H51" i="7"/>
  <c r="G51" i="7"/>
  <c r="F51" i="7"/>
  <c r="E51" i="7"/>
  <c r="D51" i="7"/>
  <c r="C51" i="7"/>
  <c r="B51" i="7"/>
  <c r="K50" i="7"/>
  <c r="J50" i="7"/>
  <c r="I50" i="7"/>
  <c r="H50" i="7"/>
  <c r="G50" i="7"/>
  <c r="F50" i="7"/>
  <c r="E50" i="7"/>
  <c r="D50" i="7"/>
  <c r="C50" i="7"/>
  <c r="B50" i="7"/>
  <c r="K49" i="7"/>
  <c r="J49" i="7"/>
  <c r="I49" i="7"/>
  <c r="H49" i="7"/>
  <c r="G49" i="7"/>
  <c r="F49" i="7"/>
  <c r="E49" i="7"/>
  <c r="D49" i="7"/>
  <c r="C49" i="7"/>
  <c r="B49" i="7"/>
  <c r="K48" i="7"/>
  <c r="J48" i="7"/>
  <c r="I48" i="7"/>
  <c r="H48" i="7"/>
  <c r="G48" i="7"/>
  <c r="F48" i="7"/>
  <c r="E48" i="7"/>
  <c r="D48" i="7"/>
  <c r="C48" i="7"/>
  <c r="B48" i="7"/>
  <c r="K47" i="7"/>
  <c r="J47" i="7"/>
  <c r="I47" i="7"/>
  <c r="H47" i="7"/>
  <c r="G47" i="7"/>
  <c r="F47" i="7"/>
  <c r="E47" i="7"/>
  <c r="D47" i="7"/>
  <c r="C47" i="7"/>
  <c r="B47" i="7"/>
  <c r="K44" i="7"/>
  <c r="J44" i="7"/>
  <c r="I44" i="7"/>
  <c r="H44" i="7"/>
  <c r="G44" i="7"/>
  <c r="F44" i="7"/>
  <c r="E44" i="7"/>
  <c r="D44" i="7"/>
  <c r="C44" i="7"/>
  <c r="B44" i="7"/>
  <c r="K43" i="7"/>
  <c r="J43" i="7"/>
  <c r="I43" i="7"/>
  <c r="H43" i="7"/>
  <c r="G43" i="7"/>
  <c r="F43" i="7"/>
  <c r="E43" i="7"/>
  <c r="D43" i="7"/>
  <c r="C43" i="7"/>
  <c r="B43" i="7"/>
  <c r="K42" i="7"/>
  <c r="J42" i="7"/>
  <c r="I42" i="7"/>
  <c r="H42" i="7"/>
  <c r="G42" i="7"/>
  <c r="F42" i="7"/>
  <c r="E42" i="7"/>
  <c r="D42" i="7"/>
  <c r="C42" i="7"/>
  <c r="B42" i="7"/>
  <c r="K41" i="7"/>
  <c r="J41" i="7"/>
  <c r="I41" i="7"/>
  <c r="H41" i="7"/>
  <c r="G41" i="7"/>
  <c r="F41" i="7"/>
  <c r="E41" i="7"/>
  <c r="D41" i="7"/>
  <c r="C41" i="7"/>
  <c r="B41" i="7"/>
  <c r="K40" i="7"/>
  <c r="J40" i="7"/>
  <c r="I40" i="7"/>
  <c r="H40" i="7"/>
  <c r="G40" i="7"/>
  <c r="F40" i="7"/>
  <c r="E40" i="7"/>
  <c r="D40" i="7"/>
  <c r="C40" i="7"/>
  <c r="B40" i="7"/>
  <c r="K38" i="7"/>
  <c r="J38" i="7"/>
  <c r="I38" i="7"/>
  <c r="H38" i="7"/>
  <c r="G38" i="7"/>
  <c r="F38" i="7"/>
  <c r="E38" i="7"/>
  <c r="D38" i="7"/>
  <c r="C38" i="7"/>
  <c r="B38" i="7"/>
  <c r="K34" i="7"/>
  <c r="J34" i="7"/>
  <c r="I34" i="7"/>
  <c r="H34" i="7"/>
  <c r="G34" i="7"/>
  <c r="F34" i="7"/>
  <c r="E34" i="7"/>
  <c r="D34" i="7"/>
  <c r="C34" i="7"/>
  <c r="B34" i="7"/>
  <c r="K39" i="7"/>
  <c r="J39" i="7"/>
  <c r="I39" i="7"/>
  <c r="H39" i="7"/>
  <c r="G39" i="7"/>
  <c r="F39" i="7"/>
  <c r="E39" i="7"/>
  <c r="D39" i="7"/>
  <c r="C39" i="7"/>
  <c r="B39" i="7"/>
  <c r="K37" i="7"/>
  <c r="J37" i="7"/>
  <c r="I37" i="7"/>
  <c r="H37" i="7"/>
  <c r="G37" i="7"/>
  <c r="F37" i="7"/>
  <c r="E37" i="7"/>
  <c r="D37" i="7"/>
  <c r="C37" i="7"/>
  <c r="B37" i="7"/>
  <c r="K33" i="7"/>
  <c r="J33" i="7"/>
  <c r="I33" i="7"/>
  <c r="H33" i="7"/>
  <c r="G33" i="7"/>
  <c r="F33" i="7"/>
  <c r="E33" i="7"/>
  <c r="D33" i="7"/>
  <c r="C33" i="7"/>
  <c r="B33" i="7"/>
  <c r="K32" i="7"/>
  <c r="J32" i="7"/>
  <c r="I32" i="7"/>
  <c r="H32" i="7"/>
  <c r="G32" i="7"/>
  <c r="F32" i="7"/>
  <c r="E32" i="7"/>
  <c r="D32" i="7"/>
  <c r="C32" i="7"/>
  <c r="B32" i="7"/>
  <c r="K31" i="7"/>
  <c r="J31" i="7"/>
  <c r="I31" i="7"/>
  <c r="H31" i="7"/>
  <c r="G31" i="7"/>
  <c r="F31" i="7"/>
  <c r="E31" i="7"/>
  <c r="D31" i="7"/>
  <c r="C31" i="7"/>
  <c r="B31" i="7"/>
  <c r="K30" i="7"/>
  <c r="J30" i="7"/>
  <c r="I30" i="7"/>
  <c r="H30" i="7"/>
  <c r="G30" i="7"/>
  <c r="F30" i="7"/>
  <c r="E30" i="7"/>
  <c r="D30" i="7"/>
  <c r="C30" i="7"/>
  <c r="B30" i="7"/>
  <c r="K29" i="7"/>
  <c r="J29" i="7"/>
  <c r="I29" i="7"/>
  <c r="H29" i="7"/>
  <c r="G29" i="7"/>
  <c r="F29" i="7"/>
  <c r="E29" i="7"/>
  <c r="D29" i="7"/>
  <c r="C29" i="7"/>
  <c r="B29" i="7"/>
  <c r="K28" i="7"/>
  <c r="J28" i="7"/>
  <c r="I28" i="7"/>
  <c r="H28" i="7"/>
  <c r="G28" i="7"/>
  <c r="F28" i="7"/>
  <c r="E28" i="7"/>
  <c r="D28" i="7"/>
  <c r="C28" i="7"/>
  <c r="B28" i="7"/>
  <c r="K27" i="7"/>
  <c r="J27" i="7"/>
  <c r="I27" i="7"/>
  <c r="H27" i="7"/>
  <c r="G27" i="7"/>
  <c r="F27" i="7"/>
  <c r="E27" i="7"/>
  <c r="D27" i="7"/>
  <c r="C27" i="7"/>
  <c r="B27" i="7"/>
  <c r="K26" i="7"/>
  <c r="J26" i="7"/>
  <c r="I26" i="7"/>
  <c r="H26" i="7"/>
  <c r="G26" i="7"/>
  <c r="F26" i="7"/>
  <c r="E26" i="7"/>
  <c r="D26" i="7"/>
  <c r="C26" i="7"/>
  <c r="B26" i="7"/>
  <c r="K21" i="7"/>
  <c r="J21" i="7"/>
  <c r="I21" i="7"/>
  <c r="H21" i="7"/>
  <c r="G21" i="7"/>
  <c r="F21" i="7"/>
  <c r="E21" i="7"/>
  <c r="D21" i="7"/>
  <c r="C21" i="7"/>
  <c r="B21" i="7"/>
  <c r="K20" i="7"/>
  <c r="J20" i="7"/>
  <c r="I20" i="7"/>
  <c r="H20" i="7"/>
  <c r="G20" i="7"/>
  <c r="F20" i="7"/>
  <c r="E20" i="7"/>
  <c r="D20" i="7"/>
  <c r="C20" i="7"/>
  <c r="B20" i="7"/>
  <c r="K19" i="7"/>
  <c r="J19" i="7"/>
  <c r="I19" i="7"/>
  <c r="H19" i="7"/>
  <c r="G19" i="7"/>
  <c r="F19" i="7"/>
  <c r="E19" i="7"/>
  <c r="D19" i="7"/>
  <c r="C19" i="7"/>
  <c r="B19" i="7"/>
  <c r="K17" i="7"/>
  <c r="J17" i="7"/>
  <c r="I17" i="7"/>
  <c r="H17" i="7"/>
  <c r="G17" i="7"/>
  <c r="F17" i="7"/>
  <c r="E17" i="7"/>
  <c r="D17" i="7"/>
  <c r="C17" i="7"/>
  <c r="B17" i="7"/>
  <c r="K16" i="7"/>
  <c r="J16" i="7"/>
  <c r="I16" i="7"/>
  <c r="H16" i="7"/>
  <c r="G16" i="7"/>
  <c r="F16" i="7"/>
  <c r="E16" i="7"/>
  <c r="D16" i="7"/>
  <c r="C16" i="7"/>
  <c r="B16" i="7"/>
  <c r="K14" i="7"/>
  <c r="J14" i="7"/>
  <c r="I14" i="7"/>
  <c r="H14" i="7"/>
  <c r="G14" i="7"/>
  <c r="F14" i="7"/>
  <c r="E14" i="7"/>
  <c r="D14" i="7"/>
  <c r="C14" i="7"/>
  <c r="B14" i="7"/>
  <c r="K13" i="7"/>
  <c r="J13" i="7"/>
  <c r="I13" i="7"/>
  <c r="H13" i="7"/>
  <c r="G13" i="7"/>
  <c r="F13" i="7"/>
  <c r="E13" i="7"/>
  <c r="D13" i="7"/>
  <c r="C13" i="7"/>
  <c r="B13" i="7"/>
  <c r="K12" i="7"/>
  <c r="J12" i="7"/>
  <c r="I12" i="7"/>
  <c r="H12" i="7"/>
  <c r="G12" i="7"/>
  <c r="F12" i="7"/>
  <c r="E12" i="7"/>
  <c r="D12" i="7"/>
  <c r="C12" i="7"/>
  <c r="B12" i="7"/>
  <c r="K11" i="7"/>
  <c r="J11" i="7"/>
  <c r="I11" i="7"/>
  <c r="H11" i="7"/>
  <c r="G11" i="7"/>
  <c r="F11" i="7"/>
  <c r="E11" i="7"/>
  <c r="D11" i="7"/>
  <c r="C11" i="7"/>
  <c r="B11" i="7"/>
  <c r="K10" i="7"/>
  <c r="J10" i="7"/>
  <c r="I10" i="7"/>
  <c r="H10" i="7"/>
  <c r="G10" i="7"/>
  <c r="F10" i="7"/>
  <c r="E10" i="7"/>
  <c r="D10" i="7"/>
  <c r="C10" i="7"/>
  <c r="B10" i="7"/>
  <c r="K7" i="7"/>
  <c r="J7" i="7"/>
  <c r="I7" i="7"/>
  <c r="H7" i="7"/>
  <c r="G7" i="7"/>
  <c r="F7" i="7"/>
  <c r="E7" i="7"/>
  <c r="D7" i="7"/>
  <c r="C7" i="7"/>
  <c r="B7" i="7"/>
  <c r="K58" i="5"/>
  <c r="J58" i="5"/>
  <c r="I58" i="5"/>
  <c r="H58" i="5"/>
  <c r="G58" i="5"/>
  <c r="F58" i="5"/>
  <c r="E58" i="5"/>
  <c r="D58" i="5"/>
  <c r="C58" i="5"/>
  <c r="B58" i="5"/>
  <c r="K57" i="5"/>
  <c r="J57" i="5"/>
  <c r="I57" i="5"/>
  <c r="H57" i="5"/>
  <c r="G57" i="5"/>
  <c r="F57" i="5"/>
  <c r="E57" i="5"/>
  <c r="D57" i="5"/>
  <c r="C57" i="5"/>
  <c r="B57" i="5"/>
  <c r="K56" i="5"/>
  <c r="J56" i="5"/>
  <c r="I56" i="5"/>
  <c r="H56" i="5"/>
  <c r="G56" i="5"/>
  <c r="F56" i="5"/>
  <c r="E56" i="5"/>
  <c r="D56" i="5"/>
  <c r="C56" i="5"/>
  <c r="B56" i="5"/>
  <c r="K55" i="5"/>
  <c r="J55" i="5"/>
  <c r="I55" i="5"/>
  <c r="H55" i="5"/>
  <c r="G55" i="5"/>
  <c r="F55" i="5"/>
  <c r="E55" i="5"/>
  <c r="D55" i="5"/>
  <c r="C55" i="5"/>
  <c r="B55" i="5"/>
  <c r="K54" i="5"/>
  <c r="J54" i="5"/>
  <c r="I54" i="5"/>
  <c r="H54" i="5"/>
  <c r="G54" i="5"/>
  <c r="F54" i="5"/>
  <c r="E54" i="5"/>
  <c r="D54" i="5"/>
  <c r="C54" i="5"/>
  <c r="B54" i="5"/>
  <c r="K53" i="5"/>
  <c r="J53" i="5"/>
  <c r="I53" i="5"/>
  <c r="H53" i="5"/>
  <c r="G53" i="5"/>
  <c r="F53" i="5"/>
  <c r="E53" i="5"/>
  <c r="D53" i="5"/>
  <c r="C53" i="5"/>
  <c r="B53" i="5"/>
  <c r="K52" i="5"/>
  <c r="J52" i="5"/>
  <c r="I52" i="5"/>
  <c r="H52" i="5"/>
  <c r="G52" i="5"/>
  <c r="F52" i="5"/>
  <c r="E52" i="5"/>
  <c r="D52" i="5"/>
  <c r="C52" i="5"/>
  <c r="B52" i="5"/>
  <c r="K51" i="5"/>
  <c r="J51" i="5"/>
  <c r="I51" i="5"/>
  <c r="H51" i="5"/>
  <c r="G51" i="5"/>
  <c r="F51" i="5"/>
  <c r="E51" i="5"/>
  <c r="D51" i="5"/>
  <c r="C51" i="5"/>
  <c r="B51" i="5"/>
  <c r="K44" i="5"/>
  <c r="J44" i="5"/>
  <c r="I44" i="5"/>
  <c r="H44" i="5"/>
  <c r="G44" i="5"/>
  <c r="F44" i="5"/>
  <c r="E44" i="5"/>
  <c r="D44" i="5"/>
  <c r="C44" i="5"/>
  <c r="B44" i="5"/>
  <c r="K43" i="5"/>
  <c r="J43" i="5"/>
  <c r="I43" i="5"/>
  <c r="H43" i="5"/>
  <c r="G43" i="5"/>
  <c r="F43" i="5"/>
  <c r="E43" i="5"/>
  <c r="D43" i="5"/>
  <c r="C43" i="5"/>
  <c r="B43" i="5"/>
  <c r="K42" i="5"/>
  <c r="J42" i="5"/>
  <c r="I42" i="5"/>
  <c r="H42" i="5"/>
  <c r="G42" i="5"/>
  <c r="F42" i="5"/>
  <c r="E42" i="5"/>
  <c r="D42" i="5"/>
  <c r="C42" i="5"/>
  <c r="B42" i="5"/>
  <c r="K41" i="5"/>
  <c r="J41" i="5"/>
  <c r="I41" i="5"/>
  <c r="H41" i="5"/>
  <c r="G41" i="5"/>
  <c r="F41" i="5"/>
  <c r="E41" i="5"/>
  <c r="D41" i="5"/>
  <c r="C41" i="5"/>
  <c r="B41" i="5"/>
  <c r="K40" i="5"/>
  <c r="J40" i="5"/>
  <c r="I40" i="5"/>
  <c r="H40" i="5"/>
  <c r="G40" i="5"/>
  <c r="F40" i="5"/>
  <c r="E40" i="5"/>
  <c r="D40" i="5"/>
  <c r="C40" i="5"/>
  <c r="B40" i="5"/>
  <c r="K39" i="5"/>
  <c r="J39" i="5"/>
  <c r="I39" i="5"/>
  <c r="H39" i="5"/>
  <c r="G39" i="5"/>
  <c r="F39" i="5"/>
  <c r="E39" i="5"/>
  <c r="D39" i="5"/>
  <c r="C39" i="5"/>
  <c r="B39" i="5"/>
  <c r="K38" i="5"/>
  <c r="J38" i="5"/>
  <c r="I38" i="5"/>
  <c r="H38" i="5"/>
  <c r="G38" i="5"/>
  <c r="F38" i="5"/>
  <c r="E38" i="5"/>
  <c r="D38" i="5"/>
  <c r="C38" i="5"/>
  <c r="B38" i="5"/>
  <c r="K37" i="5"/>
  <c r="J37" i="5"/>
  <c r="I37" i="5"/>
  <c r="H37" i="5"/>
  <c r="G37" i="5"/>
  <c r="F37" i="5"/>
  <c r="E37" i="5"/>
  <c r="D37" i="5"/>
  <c r="C37" i="5"/>
  <c r="B37" i="5"/>
  <c r="K36" i="5"/>
  <c r="J36" i="5"/>
  <c r="I36" i="5"/>
  <c r="H36" i="5"/>
  <c r="G36" i="5"/>
  <c r="F36" i="5"/>
  <c r="E36" i="5"/>
  <c r="D36" i="5"/>
  <c r="C36" i="5"/>
  <c r="B36" i="5"/>
  <c r="K35" i="5"/>
  <c r="J35" i="5"/>
  <c r="I35" i="5"/>
  <c r="H35" i="5"/>
  <c r="G35" i="5"/>
  <c r="F35" i="5"/>
  <c r="E35" i="5"/>
  <c r="D35" i="5"/>
  <c r="C35" i="5"/>
  <c r="B35" i="5"/>
  <c r="K34" i="5"/>
  <c r="L12" i="1" s="1"/>
  <c r="J34" i="5"/>
  <c r="K12" i="1" s="1"/>
  <c r="I34" i="5"/>
  <c r="J12" i="1" s="1"/>
  <c r="H34" i="5"/>
  <c r="I12" i="1" s="1"/>
  <c r="G34" i="5"/>
  <c r="H12" i="1" s="1"/>
  <c r="F34" i="5"/>
  <c r="G12" i="1" s="1"/>
  <c r="E34" i="5"/>
  <c r="F12" i="1" s="1"/>
  <c r="D34" i="5"/>
  <c r="E12" i="1" s="1"/>
  <c r="C34" i="5"/>
  <c r="D12" i="1" s="1"/>
  <c r="B34" i="5"/>
  <c r="C12" i="1" s="1"/>
  <c r="K33" i="5"/>
  <c r="J33" i="5"/>
  <c r="I33" i="5"/>
  <c r="H33" i="5"/>
  <c r="G33" i="5"/>
  <c r="F33" i="5"/>
  <c r="E33" i="5"/>
  <c r="D33" i="5"/>
  <c r="C33" i="5"/>
  <c r="B33" i="5"/>
  <c r="K32" i="5"/>
  <c r="J32" i="5"/>
  <c r="I32" i="5"/>
  <c r="H32" i="5"/>
  <c r="G32" i="5"/>
  <c r="F32" i="5"/>
  <c r="E32" i="5"/>
  <c r="D32" i="5"/>
  <c r="C32" i="5"/>
  <c r="B32" i="5"/>
  <c r="K31" i="5"/>
  <c r="J31" i="5"/>
  <c r="I31" i="5"/>
  <c r="H31" i="5"/>
  <c r="G31" i="5"/>
  <c r="F31" i="5"/>
  <c r="E31" i="5"/>
  <c r="D31" i="5"/>
  <c r="C31" i="5"/>
  <c r="B31" i="5"/>
  <c r="K30" i="5"/>
  <c r="J30" i="5"/>
  <c r="I30" i="5"/>
  <c r="H30" i="5"/>
  <c r="G30" i="5"/>
  <c r="F30" i="5"/>
  <c r="E30" i="5"/>
  <c r="D30" i="5"/>
  <c r="C30" i="5"/>
  <c r="B30" i="5"/>
  <c r="K29" i="5"/>
  <c r="J29" i="5"/>
  <c r="I29" i="5"/>
  <c r="H29" i="5"/>
  <c r="G29" i="5"/>
  <c r="F29" i="5"/>
  <c r="E29" i="5"/>
  <c r="D29" i="5"/>
  <c r="C29" i="5"/>
  <c r="B29" i="5"/>
  <c r="K28" i="5"/>
  <c r="J28" i="5"/>
  <c r="I28" i="5"/>
  <c r="H28" i="5"/>
  <c r="G28" i="5"/>
  <c r="F28" i="5"/>
  <c r="E28" i="5"/>
  <c r="D28" i="5"/>
  <c r="C28" i="5"/>
  <c r="B28" i="5"/>
  <c r="K27" i="5"/>
  <c r="J27" i="5"/>
  <c r="I27" i="5"/>
  <c r="H27" i="5"/>
  <c r="G27" i="5"/>
  <c r="F27" i="5"/>
  <c r="E27" i="5"/>
  <c r="D27" i="5"/>
  <c r="C27" i="5"/>
  <c r="B27" i="5"/>
  <c r="K26" i="5"/>
  <c r="J26" i="5"/>
  <c r="I26" i="5"/>
  <c r="H26" i="5"/>
  <c r="G26" i="5"/>
  <c r="F26" i="5"/>
  <c r="E26" i="5"/>
  <c r="D26" i="5"/>
  <c r="C26" i="5"/>
  <c r="B26" i="5"/>
  <c r="K24" i="5"/>
  <c r="J24" i="5"/>
  <c r="I24" i="5"/>
  <c r="H24" i="5"/>
  <c r="G24" i="5"/>
  <c r="F24" i="5"/>
  <c r="E24" i="5"/>
  <c r="D24" i="5"/>
  <c r="C24" i="5"/>
  <c r="B24" i="5"/>
  <c r="K23" i="5"/>
  <c r="J23" i="5"/>
  <c r="I23" i="5"/>
  <c r="H23" i="5"/>
  <c r="G23" i="5"/>
  <c r="F23" i="5"/>
  <c r="E23" i="5"/>
  <c r="D23" i="5"/>
  <c r="C23" i="5"/>
  <c r="B23" i="5"/>
  <c r="K22" i="5"/>
  <c r="J22" i="5"/>
  <c r="I22" i="5"/>
  <c r="H22" i="5"/>
  <c r="G22" i="5"/>
  <c r="F22" i="5"/>
  <c r="E22" i="5"/>
  <c r="D22" i="5"/>
  <c r="C22" i="5"/>
  <c r="B22" i="5"/>
  <c r="K21" i="5"/>
  <c r="J21" i="5"/>
  <c r="I21" i="5"/>
  <c r="H21" i="5"/>
  <c r="G21" i="5"/>
  <c r="F21" i="5"/>
  <c r="E21" i="5"/>
  <c r="D21" i="5"/>
  <c r="C21" i="5"/>
  <c r="B21" i="5"/>
  <c r="K20" i="5"/>
  <c r="J20" i="5"/>
  <c r="I20" i="5"/>
  <c r="H20" i="5"/>
  <c r="G20" i="5"/>
  <c r="F20" i="5"/>
  <c r="E20" i="5"/>
  <c r="D20" i="5"/>
  <c r="C20" i="5"/>
  <c r="B20" i="5"/>
  <c r="K19" i="5"/>
  <c r="J19" i="5"/>
  <c r="I19" i="5"/>
  <c r="H19" i="5"/>
  <c r="G19" i="5"/>
  <c r="F19" i="5"/>
  <c r="E19" i="5"/>
  <c r="D19" i="5"/>
  <c r="C19" i="5"/>
  <c r="B19" i="5"/>
  <c r="K17" i="5"/>
  <c r="L9" i="1" s="1"/>
  <c r="J17" i="5"/>
  <c r="K9" i="1" s="1"/>
  <c r="I17" i="5"/>
  <c r="J9" i="1" s="1"/>
  <c r="H17" i="5"/>
  <c r="I9" i="1" s="1"/>
  <c r="G17" i="5"/>
  <c r="H9" i="1" s="1"/>
  <c r="F17" i="5"/>
  <c r="G9" i="1" s="1"/>
  <c r="E17" i="5"/>
  <c r="F9" i="1" s="1"/>
  <c r="D17" i="5"/>
  <c r="E9" i="1" s="1"/>
  <c r="C17" i="5"/>
  <c r="D9" i="1" s="1"/>
  <c r="B17" i="5"/>
  <c r="C9" i="1" s="1"/>
  <c r="K16" i="5"/>
  <c r="J16" i="5"/>
  <c r="I16" i="5"/>
  <c r="H16" i="5"/>
  <c r="G16" i="5"/>
  <c r="F16" i="5"/>
  <c r="E16" i="5"/>
  <c r="D16" i="5"/>
  <c r="C16" i="5"/>
  <c r="B16" i="5"/>
  <c r="K15" i="5"/>
  <c r="J15" i="5"/>
  <c r="I15" i="5"/>
  <c r="H15" i="5"/>
  <c r="G15" i="5"/>
  <c r="F15" i="5"/>
  <c r="E15" i="5"/>
  <c r="D15" i="5"/>
  <c r="C15" i="5"/>
  <c r="B15" i="5"/>
  <c r="K14" i="5"/>
  <c r="J14" i="5"/>
  <c r="I14" i="5"/>
  <c r="H14" i="5"/>
  <c r="G14" i="5"/>
  <c r="F14" i="5"/>
  <c r="E14" i="5"/>
  <c r="D14" i="5"/>
  <c r="C14" i="5"/>
  <c r="B14" i="5"/>
  <c r="K13" i="5"/>
  <c r="J13" i="5"/>
  <c r="I13" i="5"/>
  <c r="H13" i="5"/>
  <c r="G13" i="5"/>
  <c r="F13" i="5"/>
  <c r="E13" i="5"/>
  <c r="D13" i="5"/>
  <c r="C13" i="5"/>
  <c r="B13" i="5"/>
  <c r="K12" i="5"/>
  <c r="J12" i="5"/>
  <c r="I12" i="5"/>
  <c r="H12" i="5"/>
  <c r="G12" i="5"/>
  <c r="F12" i="5"/>
  <c r="E12" i="5"/>
  <c r="D12" i="5"/>
  <c r="C12" i="5"/>
  <c r="B12" i="5"/>
  <c r="K11" i="5"/>
  <c r="J11" i="5"/>
  <c r="I11" i="5"/>
  <c r="H11" i="5"/>
  <c r="G11" i="5"/>
  <c r="F11" i="5"/>
  <c r="E11" i="5"/>
  <c r="D11" i="5"/>
  <c r="C11" i="5"/>
  <c r="B11" i="5"/>
  <c r="K10" i="5"/>
  <c r="J10" i="5"/>
  <c r="I10" i="5"/>
  <c r="H10" i="5"/>
  <c r="G10" i="5"/>
  <c r="F10" i="5"/>
  <c r="E10" i="5"/>
  <c r="D10" i="5"/>
  <c r="C10" i="5"/>
  <c r="B10" i="5"/>
  <c r="K9" i="5"/>
  <c r="L7" i="1" s="1"/>
  <c r="J9" i="5"/>
  <c r="K7" i="1" s="1"/>
  <c r="I9" i="5"/>
  <c r="J7" i="1" s="1"/>
  <c r="H9" i="5"/>
  <c r="I7" i="1" s="1"/>
  <c r="G9" i="5"/>
  <c r="H7" i="1" s="1"/>
  <c r="F9" i="5"/>
  <c r="G7" i="1" s="1"/>
  <c r="E9" i="5"/>
  <c r="F7" i="1" s="1"/>
  <c r="D9" i="5"/>
  <c r="E7" i="1" s="1"/>
  <c r="C9" i="5"/>
  <c r="D7" i="1" s="1"/>
  <c r="B9" i="5"/>
  <c r="C7" i="1" s="1"/>
  <c r="K8" i="5"/>
  <c r="J8" i="5"/>
  <c r="I8" i="5"/>
  <c r="H8" i="5"/>
  <c r="G8" i="5"/>
  <c r="F8" i="5"/>
  <c r="E8" i="5"/>
  <c r="D8" i="5"/>
  <c r="C8" i="5"/>
  <c r="B8" i="5"/>
  <c r="K7" i="5"/>
  <c r="J7" i="5"/>
  <c r="I7" i="5"/>
  <c r="H7" i="5"/>
  <c r="G7" i="5"/>
  <c r="F7" i="5"/>
  <c r="E7" i="5"/>
  <c r="D7" i="5"/>
  <c r="C7" i="5"/>
  <c r="B7" i="5"/>
  <c r="J6" i="5"/>
  <c r="I6" i="5"/>
  <c r="H6" i="5"/>
  <c r="G6" i="5"/>
  <c r="F6" i="5"/>
  <c r="E6" i="5"/>
  <c r="D6" i="5"/>
  <c r="C6" i="5"/>
  <c r="B6" i="5"/>
  <c r="L50" i="2"/>
  <c r="K50" i="2"/>
  <c r="J50" i="2"/>
  <c r="M49" i="2"/>
  <c r="L49" i="2"/>
  <c r="K49" i="2"/>
  <c r="J49" i="2"/>
  <c r="BG48" i="2"/>
  <c r="BF48" i="2"/>
  <c r="M48" i="2" s="1"/>
  <c r="BE48" i="2"/>
  <c r="BD48" i="2"/>
  <c r="BC48" i="2"/>
  <c r="BB48" i="2"/>
  <c r="BA48" i="2"/>
  <c r="AZ48" i="2"/>
  <c r="AY48" i="2"/>
  <c r="AX48" i="2"/>
  <c r="AW48" i="2"/>
  <c r="AV48" i="2"/>
  <c r="I48" i="2"/>
  <c r="K46" i="2"/>
  <c r="J46" i="2"/>
  <c r="K45" i="2"/>
  <c r="J45" i="2"/>
  <c r="BA44" i="2"/>
  <c r="AZ44" i="2"/>
  <c r="AY44" i="2"/>
  <c r="AX44" i="2"/>
  <c r="AW44" i="2"/>
  <c r="AV44" i="2"/>
  <c r="AU44" i="2"/>
  <c r="AT44" i="2"/>
  <c r="I44" i="2"/>
  <c r="H44" i="2"/>
  <c r="G44" i="2"/>
  <c r="F44" i="2"/>
  <c r="E44" i="2"/>
  <c r="D44" i="2"/>
  <c r="C44" i="2"/>
  <c r="L40" i="2"/>
  <c r="K40" i="2"/>
  <c r="J40" i="2"/>
  <c r="L39" i="2"/>
  <c r="K39" i="2"/>
  <c r="J39" i="2"/>
  <c r="BG38" i="2"/>
  <c r="BF38" i="2"/>
  <c r="BE38" i="2"/>
  <c r="BD38" i="2"/>
  <c r="BC38" i="2"/>
  <c r="BB38" i="2"/>
  <c r="BA38" i="2"/>
  <c r="AZ38" i="2"/>
  <c r="AY38" i="2"/>
  <c r="AX38" i="2"/>
  <c r="AW38" i="2"/>
  <c r="AV38" i="2"/>
  <c r="AU38" i="2"/>
  <c r="AT38" i="2"/>
  <c r="I38" i="2"/>
  <c r="H38" i="2"/>
  <c r="G38" i="2"/>
  <c r="F38" i="2"/>
  <c r="E38" i="2"/>
  <c r="D38" i="2"/>
  <c r="L32" i="2"/>
  <c r="K32" i="2"/>
  <c r="J32" i="2"/>
  <c r="L31" i="2"/>
  <c r="K31" i="2"/>
  <c r="J31" i="2"/>
  <c r="BE30" i="2"/>
  <c r="BD30" i="2"/>
  <c r="BC30" i="2"/>
  <c r="BB30" i="2"/>
  <c r="BA30" i="2"/>
  <c r="AZ30" i="2"/>
  <c r="AY30" i="2"/>
  <c r="AX30" i="2"/>
  <c r="J30" i="2"/>
  <c r="I30" i="2"/>
  <c r="H30" i="2"/>
  <c r="G30" i="2"/>
  <c r="F30" i="2"/>
  <c r="E30" i="2"/>
  <c r="M28" i="2"/>
  <c r="L28" i="2"/>
  <c r="K28" i="2"/>
  <c r="J28" i="2"/>
  <c r="M27" i="2"/>
  <c r="L27" i="2"/>
  <c r="K27" i="2"/>
  <c r="J27" i="2"/>
  <c r="BG26" i="2"/>
  <c r="BF26" i="2"/>
  <c r="BE26" i="2"/>
  <c r="BD26" i="2"/>
  <c r="BC26" i="2"/>
  <c r="BB26" i="2"/>
  <c r="BA26" i="2"/>
  <c r="AZ26" i="2"/>
  <c r="AY26" i="2"/>
  <c r="AX26" i="2"/>
  <c r="J26" i="2"/>
  <c r="I26" i="2"/>
  <c r="H26" i="2"/>
  <c r="G26" i="2"/>
  <c r="F26" i="2"/>
  <c r="E26" i="2"/>
  <c r="D26" i="2"/>
  <c r="C26" i="2"/>
  <c r="M18" i="2"/>
  <c r="M43" i="1" s="1"/>
  <c r="L18" i="2"/>
  <c r="K18" i="2"/>
  <c r="J18" i="2"/>
  <c r="I18" i="2"/>
  <c r="M17" i="2"/>
  <c r="M42" i="1" s="1"/>
  <c r="L17" i="2"/>
  <c r="K17" i="2"/>
  <c r="J17" i="2"/>
  <c r="I17" i="2"/>
  <c r="H17" i="2"/>
  <c r="G17" i="2"/>
  <c r="F17" i="2"/>
  <c r="E17" i="2"/>
  <c r="D17" i="2"/>
  <c r="C17" i="2"/>
  <c r="M13" i="2"/>
  <c r="L13" i="2"/>
  <c r="K13" i="2"/>
  <c r="J13" i="2"/>
  <c r="I13" i="2"/>
  <c r="H13" i="2"/>
  <c r="G13" i="2"/>
  <c r="F13" i="2"/>
  <c r="E13" i="2"/>
  <c r="D13" i="2"/>
  <c r="L12" i="2"/>
  <c r="K12" i="2"/>
  <c r="J12" i="2"/>
  <c r="I12" i="2"/>
  <c r="H12" i="2"/>
  <c r="G12" i="2"/>
  <c r="F12" i="2"/>
  <c r="E12" i="2"/>
  <c r="D12" i="2"/>
  <c r="M8" i="2"/>
  <c r="M33" i="1" s="1"/>
  <c r="L8" i="2"/>
  <c r="K8" i="2"/>
  <c r="J8" i="2"/>
  <c r="I8" i="2"/>
  <c r="H8" i="2"/>
  <c r="G8" i="2"/>
  <c r="F8" i="2"/>
  <c r="E8" i="2"/>
  <c r="L7" i="2"/>
  <c r="K7" i="2"/>
  <c r="J7" i="2"/>
  <c r="I7" i="2"/>
  <c r="H7" i="2"/>
  <c r="G7" i="2"/>
  <c r="F7" i="2"/>
  <c r="E7" i="2"/>
  <c r="D7" i="2"/>
  <c r="C7" i="2"/>
  <c r="B72" i="7" l="1"/>
  <c r="C72" i="7"/>
  <c r="J48" i="2"/>
  <c r="D72" i="7"/>
  <c r="E72" i="7"/>
  <c r="F72" i="7"/>
  <c r="G72" i="7"/>
  <c r="H72" i="7"/>
  <c r="I72" i="7"/>
  <c r="J72" i="7"/>
  <c r="K72" i="7"/>
  <c r="E14" i="2"/>
  <c r="H14" i="2"/>
  <c r="K38" i="2"/>
  <c r="M38" i="2"/>
  <c r="D14" i="2"/>
  <c r="L14" i="2"/>
  <c r="M14" i="2"/>
  <c r="M39" i="1" s="1"/>
  <c r="M38" i="1"/>
  <c r="K48" i="2"/>
  <c r="L48" i="2"/>
  <c r="G14" i="2"/>
  <c r="I14" i="2"/>
  <c r="F14" i="2"/>
  <c r="K26" i="2"/>
  <c r="L26" i="2"/>
  <c r="M26" i="2"/>
  <c r="K14" i="2"/>
  <c r="K30" i="2"/>
  <c r="L30" i="2"/>
  <c r="J38" i="2"/>
  <c r="L38" i="2"/>
  <c r="J14" i="2"/>
  <c r="J44" i="2"/>
  <c r="L44" i="2"/>
  <c r="K44" i="2"/>
</calcChain>
</file>

<file path=xl/sharedStrings.xml><?xml version="1.0" encoding="utf-8"?>
<sst xmlns="http://schemas.openxmlformats.org/spreadsheetml/2006/main" count="920" uniqueCount="480">
  <si>
    <t>Pre-ppa EBITDA</t>
  </si>
  <si>
    <t>EBITDA</t>
  </si>
  <si>
    <t>x</t>
  </si>
  <si>
    <t> </t>
  </si>
  <si>
    <t>%</t>
  </si>
  <si>
    <t>-</t>
  </si>
  <si>
    <t>Botanica</t>
  </si>
  <si>
    <t>Domino</t>
  </si>
  <si>
    <t xml:space="preserve">ir@etalongroup.com </t>
  </si>
  <si>
    <r>
      <t xml:space="preserve"> </t>
    </r>
    <r>
      <rPr>
        <sz val="16"/>
        <color rgb="FF000000"/>
        <rFont val="Arial"/>
        <family val="2"/>
        <charset val="204"/>
      </rPr>
      <t> </t>
    </r>
    <r>
      <rPr>
        <sz val="16"/>
        <color rgb="FFFFFFFF"/>
        <rFont val="Arial"/>
        <family val="2"/>
        <charset val="204"/>
      </rPr>
      <t xml:space="preserve"> </t>
    </r>
    <r>
      <rPr>
        <sz val="16"/>
        <color rgb="FF000000"/>
        <rFont val="Arial"/>
        <family val="2"/>
        <charset val="204"/>
      </rPr>
      <t> </t>
    </r>
    <r>
      <rPr>
        <sz val="16"/>
        <color rgb="FFFFFFFF"/>
        <rFont val="Arial"/>
        <family val="2"/>
        <charset val="204"/>
      </rPr>
      <t xml:space="preserve"> </t>
    </r>
    <r>
      <rPr>
        <sz val="16"/>
        <color rgb="FF000000"/>
        <rFont val="Arial"/>
        <family val="2"/>
        <charset val="204"/>
      </rPr>
      <t> </t>
    </r>
    <r>
      <rPr>
        <sz val="16"/>
        <color rgb="FFFFFFFF"/>
        <rFont val="Arial"/>
        <family val="2"/>
        <charset val="204"/>
      </rPr>
      <t xml:space="preserve"> </t>
    </r>
    <r>
      <rPr>
        <sz val="16"/>
        <color rgb="FF000000"/>
        <rFont val="Arial"/>
        <family val="2"/>
        <charset val="204"/>
      </rPr>
      <t> </t>
    </r>
    <r>
      <rPr>
        <sz val="16"/>
        <color rgb="FFFFFFFF"/>
        <rFont val="Arial"/>
        <family val="2"/>
        <charset val="204"/>
      </rPr>
      <t xml:space="preserve"> </t>
    </r>
    <r>
      <rPr>
        <sz val="16"/>
        <color rgb="FF000000"/>
        <rFont val="Arial"/>
        <family val="2"/>
        <charset val="204"/>
      </rPr>
      <t> </t>
    </r>
    <r>
      <rPr>
        <sz val="16"/>
        <color rgb="FFFFFFFF"/>
        <rFont val="Arial"/>
        <family val="2"/>
        <charset val="204"/>
      </rPr>
      <t xml:space="preserve"> </t>
    </r>
  </si>
  <si>
    <t>&gt;&gt;</t>
  </si>
  <si>
    <t>Voxhall</t>
  </si>
  <si>
    <t xml:space="preserve"> 30.06.2022</t>
  </si>
  <si>
    <t>#</t>
  </si>
  <si>
    <t>Nagatino i-Land</t>
  </si>
  <si>
    <t>2011 - 2017, 2019, 2022, 2023</t>
  </si>
  <si>
    <t>2018 - 2021, 2022, 2023</t>
  </si>
  <si>
    <t>2022, 2024</t>
  </si>
  <si>
    <t>iLona</t>
  </si>
  <si>
    <t>Wellamo</t>
  </si>
  <si>
    <t>Suomen Ranta</t>
  </si>
  <si>
    <t>2023, 2024</t>
  </si>
  <si>
    <t>Rauta</t>
  </si>
  <si>
    <t>2023, 2026</t>
  </si>
  <si>
    <t>Green</t>
  </si>
  <si>
    <t>2016 - 2018</t>
  </si>
  <si>
    <t>2018 - 2019, 2021</t>
  </si>
  <si>
    <t>2022 - 2023</t>
  </si>
  <si>
    <t>2015 - 2017</t>
  </si>
  <si>
    <t xml:space="preserve"> 30.06.2023</t>
  </si>
  <si>
    <t xml:space="preserve"> 31.12.2023</t>
  </si>
  <si>
    <t>n/a</t>
  </si>
  <si>
    <t>na</t>
  </si>
  <si>
    <t>IR-команда</t>
  </si>
  <si>
    <t>СОДЕРЖАНИЕ</t>
  </si>
  <si>
    <t>Обзор</t>
  </si>
  <si>
    <t>Операционные результаты</t>
  </si>
  <si>
    <t>Основные операционные показатели</t>
  </si>
  <si>
    <t>Основные операционные показатели по регионам</t>
  </si>
  <si>
    <t xml:space="preserve">EBITDA </t>
  </si>
  <si>
    <t>Финансовая отчетность (IFRS)</t>
  </si>
  <si>
    <t>Консолидированный отчет о прибыли и убытке</t>
  </si>
  <si>
    <t>Консолидированный отчет о финансовом положении</t>
  </si>
  <si>
    <t>Консолидированный отчет о движении денежных средств</t>
  </si>
  <si>
    <t>К содержанию</t>
  </si>
  <si>
    <t>Выручка</t>
  </si>
  <si>
    <t>Валовая прибыль</t>
  </si>
  <si>
    <t>Pre-PPA валовая прибыль</t>
  </si>
  <si>
    <t>Чистая прибыль</t>
  </si>
  <si>
    <t>ОТЧЕТ О ФИНАНСОВОМ ПОЛОЖЕНИИ</t>
  </si>
  <si>
    <t>Валовый долг</t>
  </si>
  <si>
    <t>Корпоративный долг</t>
  </si>
  <si>
    <t>Проектный долг</t>
  </si>
  <si>
    <r>
      <t>Денежные средства и эквиваленты</t>
    </r>
    <r>
      <rPr>
        <vertAlign val="superscript"/>
        <sz val="10"/>
        <color rgb="FF000000"/>
        <rFont val="Arial"/>
        <family val="2"/>
        <charset val="204"/>
      </rPr>
      <t>(1)</t>
    </r>
  </si>
  <si>
    <t>Денежные средства на эскроу</t>
  </si>
  <si>
    <t>Чистый корпоративный долг (денежная позиция)</t>
  </si>
  <si>
    <t>Чистый корпоративный долг/pre-PPA EBITDA</t>
  </si>
  <si>
    <t>млн руб.</t>
  </si>
  <si>
    <t>руб./кв. м</t>
  </si>
  <si>
    <t>ОТЧЕТ О ДВИЖЕНИИ ДЕНЕЖНЫХ СРЕДСТВ</t>
  </si>
  <si>
    <t xml:space="preserve">OCF с учетом поступлений на эскроу </t>
  </si>
  <si>
    <t>Свободный денежный поток (FCF)</t>
  </si>
  <si>
    <t>FCF с учетом поступлений на эскроу</t>
  </si>
  <si>
    <t>Денежные поступления на эскроу</t>
  </si>
  <si>
    <t>ПРОДАЖИ И ДЕНЕЖНЫЕ ПОСТУПЛЕНИЯ</t>
  </si>
  <si>
    <t>Денежные поступления</t>
  </si>
  <si>
    <t>Средняя цена</t>
  </si>
  <si>
    <t>Количество новых договоров</t>
  </si>
  <si>
    <t>Количество ипотечных договоров</t>
  </si>
  <si>
    <t>ЗАКЛЮЧЕННЫЕ ДОГОВОРЫ И ИПОТЕЧНЫЕ ПРОДАЖИ</t>
  </si>
  <si>
    <t>Доля ипотечных продаж</t>
  </si>
  <si>
    <t>ПРОДАЖИ И ВВОД В ЭКСПЛУАТАЦИЮ</t>
  </si>
  <si>
    <t xml:space="preserve">Продажи   </t>
  </si>
  <si>
    <t>Ввод в эксплуатацию</t>
  </si>
  <si>
    <t>кв. м</t>
  </si>
  <si>
    <t>ПОРТФЕЛЬ ПРОЕКТОВ</t>
  </si>
  <si>
    <t>Рыночная стоимость активов</t>
  </si>
  <si>
    <t>Рыночная стоимость портфеля проектов</t>
  </si>
  <si>
    <t>Нереализованная чистая продаваемая площадь (NSA)</t>
  </si>
  <si>
    <t>(1) Включая банковские депозиты сроком свыше 3 месяцев</t>
  </si>
  <si>
    <t>тыс. кв. м</t>
  </si>
  <si>
    <t xml:space="preserve">Продажи    </t>
  </si>
  <si>
    <t>1 кв. 2011</t>
  </si>
  <si>
    <t>2 кв. 2011</t>
  </si>
  <si>
    <t>3 кв. 2011</t>
  </si>
  <si>
    <t>4 кв. 2011</t>
  </si>
  <si>
    <t>1 кв. 2012</t>
  </si>
  <si>
    <t>2 кв. 2012</t>
  </si>
  <si>
    <t>3 кв. 2012</t>
  </si>
  <si>
    <t>4 кв. 2012</t>
  </si>
  <si>
    <t>1 кв. 2013</t>
  </si>
  <si>
    <t>2 кв. 2013</t>
  </si>
  <si>
    <t>3 кв. 2013</t>
  </si>
  <si>
    <t>4 кв. 2013</t>
  </si>
  <si>
    <t>1 кв. 2014</t>
  </si>
  <si>
    <t>2 кв. 2014</t>
  </si>
  <si>
    <t>3 кв. 2014</t>
  </si>
  <si>
    <t>4 кв. 2014</t>
  </si>
  <si>
    <t>1 кв. 2015</t>
  </si>
  <si>
    <t>2 кв. 2015</t>
  </si>
  <si>
    <t>3 кв. 2015</t>
  </si>
  <si>
    <t>4 кв. 2015</t>
  </si>
  <si>
    <t>1 кв. 2016</t>
  </si>
  <si>
    <t>2 кв. 2016</t>
  </si>
  <si>
    <t>3 кв. 2016</t>
  </si>
  <si>
    <t>4 кв. 2016</t>
  </si>
  <si>
    <t>1 кв. 2017</t>
  </si>
  <si>
    <t>2 кв. 2017</t>
  </si>
  <si>
    <t>3 кв. 2017</t>
  </si>
  <si>
    <t>4 кв. 2017</t>
  </si>
  <si>
    <t>1 кв. 2018</t>
  </si>
  <si>
    <t>2 кв. 2018</t>
  </si>
  <si>
    <t>3 кв. 2018</t>
  </si>
  <si>
    <t>4 кв. 2018</t>
  </si>
  <si>
    <t>1 кв. 2019</t>
  </si>
  <si>
    <t>2 кв. 2019</t>
  </si>
  <si>
    <t>3 кв. 2019</t>
  </si>
  <si>
    <t>4 кв. 2019</t>
  </si>
  <si>
    <t>1 кв. 2020</t>
  </si>
  <si>
    <t>2 кв. 2020</t>
  </si>
  <si>
    <t>3 кв. 2020</t>
  </si>
  <si>
    <t>4 кв. 2020</t>
  </si>
  <si>
    <t>1 кв. 2021</t>
  </si>
  <si>
    <t>2 кв. 2021</t>
  </si>
  <si>
    <t>3 кв. 2021</t>
  </si>
  <si>
    <t>4 кв. 2021</t>
  </si>
  <si>
    <t>1 кв. 2022</t>
  </si>
  <si>
    <t>2 кв. 2022</t>
  </si>
  <si>
    <t>3 кв. 2022</t>
  </si>
  <si>
    <t>4 кв. 2022</t>
  </si>
  <si>
    <t>4 кв. 2023</t>
  </si>
  <si>
    <t>1 кв. 2024</t>
  </si>
  <si>
    <t>1 кв. 2023</t>
  </si>
  <si>
    <t>2 кв. 2023</t>
  </si>
  <si>
    <t>3 кв. 2023</t>
  </si>
  <si>
    <t>Москва</t>
  </si>
  <si>
    <t>Санкт-Петербург</t>
  </si>
  <si>
    <t>Регионы</t>
  </si>
  <si>
    <t>Консолидированный отчет о прибыли или убытке и прочем совокупном доходе (МСФО)</t>
  </si>
  <si>
    <t>Себестоимость</t>
  </si>
  <si>
    <t xml:space="preserve">Выручка от реализации недвижимости, учитываемой по первоначальной стоимости </t>
  </si>
  <si>
    <t xml:space="preserve">Выручка от реализации недвижимости, приобретенной в рамках сделок по объединению бизнеса и учитываемой по справедливой стоимости при первоначальном признании   </t>
  </si>
  <si>
    <t>Прочая выручка</t>
  </si>
  <si>
    <t xml:space="preserve">Себестоимость продаж недвижимости, учитываемой по первоначальной стоимости </t>
  </si>
  <si>
    <t>Себестоимость продаж недвижимости, приобретенной в рамках сделок по объединению бизнеса и учитываемой по справедливой стоимости при первоначальном признании</t>
  </si>
  <si>
    <t>Прочая себестоимость</t>
  </si>
  <si>
    <t>Общехозяйственные и административные расходы</t>
  </si>
  <si>
    <t>Коммерческие расходы</t>
  </si>
  <si>
    <t>Прибыль от выгодной покупки бизнеса</t>
  </si>
  <si>
    <t>Результаты от операционной деятельности</t>
  </si>
  <si>
    <t>Процентные финансовые доходы</t>
  </si>
  <si>
    <t xml:space="preserve">Финансовые доходы - прочее </t>
  </si>
  <si>
    <t>Финансовые расходы</t>
  </si>
  <si>
    <t>Чистые финансовые расходы</t>
  </si>
  <si>
    <t>Доля в прибыли/(убытке) объектов инвестиций, учитываемых методом долевого участия (за вычетом налога на прибыль)</t>
  </si>
  <si>
    <t>Прибыль до налогообложения</t>
  </si>
  <si>
    <t>Прибыль за год</t>
  </si>
  <si>
    <t>Общий совокупный доход за год</t>
  </si>
  <si>
    <t>Прибыль, относимая на:</t>
  </si>
  <si>
    <t>Акционеров компании</t>
  </si>
  <si>
    <t>Неконтролирующие доли участия</t>
  </si>
  <si>
    <t>Итого совокупный доход, относимый на:</t>
  </si>
  <si>
    <t>Консолидированный отчет о финансовом положении (МСФО)</t>
  </si>
  <si>
    <t xml:space="preserve">млн руб. </t>
  </si>
  <si>
    <t>АКТИВЫ</t>
  </si>
  <si>
    <t>Внеоборотные активы</t>
  </si>
  <si>
    <t>Основные средства</t>
  </si>
  <si>
    <t>Нематериальные активы</t>
  </si>
  <si>
    <t>Инвестиционная недвижимость</t>
  </si>
  <si>
    <t>Прочие долгосрочные вложения</t>
  </si>
  <si>
    <t>Торговая и прочая дебиторская задолженность</t>
  </si>
  <si>
    <t>Отложенные налоговые активы</t>
  </si>
  <si>
    <t>Прочие внеоборотные активы</t>
  </si>
  <si>
    <t>Итого внеоборотные активы</t>
  </si>
  <si>
    <t>Оборотные активы</t>
  </si>
  <si>
    <t>Запасы:</t>
  </si>
  <si>
    <t>Запасы в стадии строительства</t>
  </si>
  <si>
    <t>Запасы - готовая продукция</t>
  </si>
  <si>
    <t>Прочие запасы</t>
  </si>
  <si>
    <t>Резерв под обесценение*</t>
  </si>
  <si>
    <t>Активы по договорам, торговая и прочая дебиторская задолженность:</t>
  </si>
  <si>
    <t>Авансы выданные</t>
  </si>
  <si>
    <t xml:space="preserve">Активы по договорам  </t>
  </si>
  <si>
    <t>Торговая дебиторская задолженность</t>
  </si>
  <si>
    <t>Прочая дебиторская задолженность</t>
  </si>
  <si>
    <t>Резерв по сомнительной дебиторской задолженности*</t>
  </si>
  <si>
    <t>Затраты на заключение договоров</t>
  </si>
  <si>
    <t>Прочие краткосрочные вложения</t>
  </si>
  <si>
    <t>Денежные средства и их эквиваленты</t>
  </si>
  <si>
    <t>Прочие оборотные активы</t>
  </si>
  <si>
    <t>Итого оборотные активы</t>
  </si>
  <si>
    <t>Активы на продажу</t>
  </si>
  <si>
    <t>ИТОГО АКТИВЫ</t>
  </si>
  <si>
    <t>КАПИТАЛ И ОБЯЗАТЕЛЬСТВА</t>
  </si>
  <si>
    <t>Собственный капитал и резервы</t>
  </si>
  <si>
    <t>Акционерный капитал:</t>
  </si>
  <si>
    <t xml:space="preserve">Акционерный капитал </t>
  </si>
  <si>
    <t>Добавочный капитал</t>
  </si>
  <si>
    <t>Резерв под собственные акции</t>
  </si>
  <si>
    <t>Нераспределенная прибыль</t>
  </si>
  <si>
    <t>Итого капитал, относимый к собственникам Компании</t>
  </si>
  <si>
    <t xml:space="preserve">Итого капитал   </t>
  </si>
  <si>
    <t>Долгосрочные обязательства</t>
  </si>
  <si>
    <t>Кредиты и займы</t>
  </si>
  <si>
    <t>Обязательства по договорам, торговая и прочая кредиторская задолженность</t>
  </si>
  <si>
    <t>Торговая и прочая кредиторская задолженность</t>
  </si>
  <si>
    <t>Обязательства по договорам</t>
  </si>
  <si>
    <t>Резервы</t>
  </si>
  <si>
    <t>Отложенные налоговые обязательства</t>
  </si>
  <si>
    <t>Итого долгосрочные обязательства</t>
  </si>
  <si>
    <t>Краткосрочные обязательства</t>
  </si>
  <si>
    <t>Итого краткосрочные обязательства</t>
  </si>
  <si>
    <t>ИТОГО КАПИТАЛ И ОБЯЗАТЕЛЬСТВА</t>
  </si>
  <si>
    <t xml:space="preserve">Валовая прибыль от реализации недвижимости, учитываемой по первоначальной стоимости </t>
  </si>
  <si>
    <t>Валовая прибыль от реализации недвижимости, приобретенной в рамках сделок по объединению бизнеса и учитываемой по справедливой стоимости при первоначальном признании</t>
  </si>
  <si>
    <t>Прочая валовая прибыль</t>
  </si>
  <si>
    <t>За вычетом: Общехозяйственных и административных расходов</t>
  </si>
  <si>
    <t>За вычетом: Коммерческих расходов</t>
  </si>
  <si>
    <t>Скорректированная операционная прибыль</t>
  </si>
  <si>
    <t>С учетом: Амортизации</t>
  </si>
  <si>
    <t xml:space="preserve">С учетом: PPA в составе себестоимости </t>
  </si>
  <si>
    <t>EBITDA, скорректированная на PPA</t>
  </si>
  <si>
    <t>Консолидированный отчет о движении денежных средств (МСФО)</t>
  </si>
  <si>
    <t>ОПЕРАЦИОННАЯ ДЕЯТЕЛЬНОСТЬ</t>
  </si>
  <si>
    <t>Корректировки:</t>
  </si>
  <si>
    <t>Амортизация</t>
  </si>
  <si>
    <t>(Прибыль)/убыток от выбытия основных средств</t>
  </si>
  <si>
    <t>Убыток от обесценения инвестиционной недвижимости</t>
  </si>
  <si>
    <t>Доля в (прибыли)/убытке объектов инвестиций, учитываемых методов долевого участия (за вычетом налога на прибыль)</t>
  </si>
  <si>
    <t>Платеж, основанный на акциях, расчеты по которому производятся долевыми инструментами</t>
  </si>
  <si>
    <t>(Прибыль)/убыток от выбытия дочерних организаций</t>
  </si>
  <si>
    <t>Прибыль от выбытия ассоциированных организаций</t>
  </si>
  <si>
    <t>Прибыль от выбытия других инвестиционных активов</t>
  </si>
  <si>
    <t xml:space="preserve">Стоимость объектов социальной инфраструктуры реализованных проектов </t>
  </si>
  <si>
    <t>Значительный компонент финансирования по договорам с покупателями, признанный в составе выручки</t>
  </si>
  <si>
    <t>Экономия на процентах по заключенным договорам проектного финансирования с использованием счетов эскроу, признанная в выручке</t>
  </si>
  <si>
    <t>Финансовые расходы, нетто</t>
  </si>
  <si>
    <t>1П 2011</t>
  </si>
  <si>
    <t>2П 2011</t>
  </si>
  <si>
    <t>1П 2012</t>
  </si>
  <si>
    <t>2П 2012</t>
  </si>
  <si>
    <t>1П 2013</t>
  </si>
  <si>
    <t>2П 2013</t>
  </si>
  <si>
    <t>1П 2014</t>
  </si>
  <si>
    <t>2П 2014</t>
  </si>
  <si>
    <t>1П 2015</t>
  </si>
  <si>
    <t>2П 2015</t>
  </si>
  <si>
    <t>1П 2016</t>
  </si>
  <si>
    <t>2П 2016</t>
  </si>
  <si>
    <t>1П 2017</t>
  </si>
  <si>
    <t>2П 2017</t>
  </si>
  <si>
    <t>1П 2018</t>
  </si>
  <si>
    <t>2П 2018</t>
  </si>
  <si>
    <t>1П 2019</t>
  </si>
  <si>
    <t>2П 2019</t>
  </si>
  <si>
    <t>1П 2020</t>
  </si>
  <si>
    <t>2П 2020</t>
  </si>
  <si>
    <t>1П 2021</t>
  </si>
  <si>
    <t>2П 2021</t>
  </si>
  <si>
    <t>1П 2022</t>
  </si>
  <si>
    <t>2П 2022</t>
  </si>
  <si>
    <t>1П 2023</t>
  </si>
  <si>
    <t>2П 2023</t>
  </si>
  <si>
    <t>Денежные средства от операционной деятельности до учета изменений в оборотном капитале и резервах</t>
  </si>
  <si>
    <t>Изменение запасов</t>
  </si>
  <si>
    <t>Изменение активов по договорам</t>
  </si>
  <si>
    <t>Изменение кредиторской задолженности</t>
  </si>
  <si>
    <t>Изменение обязательств по договорам</t>
  </si>
  <si>
    <t>Изменение резервов</t>
  </si>
  <si>
    <t>Изменение прочих активов</t>
  </si>
  <si>
    <t>Поток денежных средств, использованных в операционной деятельности</t>
  </si>
  <si>
    <t>Налог на прибыль уплаченный</t>
  </si>
  <si>
    <t>Проценты уплаченные</t>
  </si>
  <si>
    <t>Чистый поток денежных средств, использованных в операционной деятельности</t>
  </si>
  <si>
    <t>ИНВЕСТИЦИОННАЯ ДЕЯТЕЛЬНОСТЬ</t>
  </si>
  <si>
    <t>Поступления от выбытия основных средств</t>
  </si>
  <si>
    <t>Поступления от выбытия инвестиционной недвижимости</t>
  </si>
  <si>
    <t>Проценты полученные</t>
  </si>
  <si>
    <t>Приобретение основных средств и нематериальных активов</t>
  </si>
  <si>
    <t>Выдача займов</t>
  </si>
  <si>
    <t>Погашение займов выданных</t>
  </si>
  <si>
    <t>Доход от выбытия дочерних организаций за вычетом выбывших денежных средств</t>
  </si>
  <si>
    <t>Инвестиции в ассоциированные организации и дочерние предприятия</t>
  </si>
  <si>
    <t>Прочие инвестиции</t>
  </si>
  <si>
    <t>Выбытие прочих инвестиций</t>
  </si>
  <si>
    <t>Чистый поток денежных средств, (использованных в)/от инвестиционной деятельности</t>
  </si>
  <si>
    <t>ФИНАНСОВАЯ ДЕЯТЕЛЬНОСТЬ</t>
  </si>
  <si>
    <t>Поступления от IPO</t>
  </si>
  <si>
    <t>Поступления от выпуска акций или других долевых инструментов</t>
  </si>
  <si>
    <t>Получение кредитов и займов</t>
  </si>
  <si>
    <t>Погашение кредитов и займов</t>
  </si>
  <si>
    <t>Приобретение неконтролирующих долей участия</t>
  </si>
  <si>
    <t>Выбытие неконтролирующих долей участия</t>
  </si>
  <si>
    <t>Приобретение собственных акций</t>
  </si>
  <si>
    <t>Платежи по арендным обязательствам, не включая проценты</t>
  </si>
  <si>
    <t>Дивиденды выплаченные</t>
  </si>
  <si>
    <t>Чистый поток денежных средств, (использованных в)/от финансовой деятельности</t>
  </si>
  <si>
    <t>Чистое увеличение/(уменьшение) денежных средств и их эквивалентов</t>
  </si>
  <si>
    <t>Денежные средства и их эквиваленты на начало периода</t>
  </si>
  <si>
    <t>Влияние изменений валютных курсов на денежные средства и их эквиваленты</t>
  </si>
  <si>
    <t>Денежные средства и их эквиваленты на конец периода</t>
  </si>
  <si>
    <t>Регион</t>
  </si>
  <si>
    <t>Рыночная стоимость доли компании, млн руб.</t>
  </si>
  <si>
    <t>Права на участок</t>
  </si>
  <si>
    <t>Площадь участка, га</t>
  </si>
  <si>
    <t>Общая NSA (чистая реализуемая площадь), кв. м</t>
  </si>
  <si>
    <t>Всего</t>
  </si>
  <si>
    <t>Жилая</t>
  </si>
  <si>
    <t>Коммерческая</t>
  </si>
  <si>
    <t>Социальная инфраструктура</t>
  </si>
  <si>
    <t xml:space="preserve">Паркинг, кол-во машиномест </t>
  </si>
  <si>
    <t>Паркинг, кол-во машиномест</t>
  </si>
  <si>
    <t>Паркинг, кв. м</t>
  </si>
  <si>
    <t>Затраты на строительство, млн руб.</t>
  </si>
  <si>
    <t>Неосвоенные затраты на строительство, млн руб. (оценка)</t>
  </si>
  <si>
    <t>Поступления от продаж, млн руб.</t>
  </si>
  <si>
    <t>Коэффициент дисконтирования</t>
  </si>
  <si>
    <t>Ожидаемая цена продаж, руб./кв. м или лот (округленная)</t>
  </si>
  <si>
    <t>Паркинг</t>
  </si>
  <si>
    <t>Стадия проекта</t>
  </si>
  <si>
    <t>Дополнительная информация</t>
  </si>
  <si>
    <t>Общие платежи за землю, млн руб.</t>
  </si>
  <si>
    <t>Стоимость смены ВРИ участка и прочие затраты в связи с приобретением участков, млн руб.</t>
  </si>
  <si>
    <t xml:space="preserve">Невыплаченные платежи за землю (в т.ч. стоимость смены ВРИ участка), млн руб. </t>
  </si>
  <si>
    <t>Невыплаченные платежи за землю с учетом дисконтирования (вкл. Стоимость смены ВРИ), млн руб.</t>
  </si>
  <si>
    <t xml:space="preserve">Стоимость смены ВРИ и прочие затраты в связи с приобретением участков, с учетом дисконтирования, млн руб. </t>
  </si>
  <si>
    <t>ЗИЛ-Юг</t>
  </si>
  <si>
    <t>Серебряный фонтан</t>
  </si>
  <si>
    <t>Московская область</t>
  </si>
  <si>
    <t>Аренда</t>
  </si>
  <si>
    <t>Собственность</t>
  </si>
  <si>
    <t>Предварительное соглашение</t>
  </si>
  <si>
    <t>Текущие проекты в Санкт-Петербурге</t>
  </si>
  <si>
    <t>Квартал Che</t>
  </si>
  <si>
    <t>Проект в Красногвардейском районе</t>
  </si>
  <si>
    <t>Монография</t>
  </si>
  <si>
    <t>Новоорловский</t>
  </si>
  <si>
    <t>Пулковский дом</t>
  </si>
  <si>
    <t>Текущие проекты в Омске</t>
  </si>
  <si>
    <t>Зеленая река</t>
  </si>
  <si>
    <t>Омск</t>
  </si>
  <si>
    <t>Счастье в Кольцово</t>
  </si>
  <si>
    <t>Собственность, предварительное соглашение</t>
  </si>
  <si>
    <t>Собственность и аренда</t>
  </si>
  <si>
    <t>Тюмень</t>
  </si>
  <si>
    <t>Екатеринбург</t>
  </si>
  <si>
    <t>Солнечный (Екатеринбург)</t>
  </si>
  <si>
    <t>Балтым-Парк</t>
  </si>
  <si>
    <t>Текущие проекты в Тюмени</t>
  </si>
  <si>
    <t>Счастье в Тюмени</t>
  </si>
  <si>
    <t>Текущие проекты в Казани</t>
  </si>
  <si>
    <t>Счастье в Казани</t>
  </si>
  <si>
    <t>Эталон-Сити</t>
  </si>
  <si>
    <t>Изумрудные холмы</t>
  </si>
  <si>
    <t>Летний сад</t>
  </si>
  <si>
    <t>Счастье на Соколе</t>
  </si>
  <si>
    <t>Андропова, д.18</t>
  </si>
  <si>
    <t>Завершенные проекты в Санкт-Петербурге</t>
  </si>
  <si>
    <t>Галактика</t>
  </si>
  <si>
    <t>Петровская доминанта</t>
  </si>
  <si>
    <t>Охта Хаус</t>
  </si>
  <si>
    <t>Эталон на Неве</t>
  </si>
  <si>
    <t>Юбилейный квартал</t>
  </si>
  <si>
    <t>Царская столица</t>
  </si>
  <si>
    <t>Самоцветы</t>
  </si>
  <si>
    <t>Московские ворота</t>
  </si>
  <si>
    <t>Смольный</t>
  </si>
  <si>
    <t>Завершенные проекты в регионах</t>
  </si>
  <si>
    <t>Финский залив</t>
  </si>
  <si>
    <t>Зорге, 3</t>
  </si>
  <si>
    <t>Ивовая</t>
  </si>
  <si>
    <t>Портфель проектов</t>
  </si>
  <si>
    <t>ПРОИЗВОДСТВЕННЫЙ БЛОК</t>
  </si>
  <si>
    <t>Наименование объекта</t>
  </si>
  <si>
    <t>Расчетные рыночные ставки аренды, руб/кв. м или м/м/год, вкл. OPEX, без НДС</t>
  </si>
  <si>
    <t>Коммерческие объекты для собственного использования</t>
  </si>
  <si>
    <t>Офисное здание, Богатырский проспект, 3</t>
  </si>
  <si>
    <t>Портфель активов</t>
  </si>
  <si>
    <t>Итого активы</t>
  </si>
  <si>
    <t>2 кв. 2024</t>
  </si>
  <si>
    <t>Погашение проектного долга - раскрытие счетов эскроу</t>
  </si>
  <si>
    <t>Резерв по опционной программе</t>
  </si>
  <si>
    <t>Приобретение дочерних организаций за вычетом приобретенных денежных средств</t>
  </si>
  <si>
    <t>Чистая реализуемая площадь (доля Компании), включая паркинг, кв. м</t>
  </si>
  <si>
    <t>Непроданная чистая реализуемая площадь (доля Компании), включая паркинг, кв. м</t>
  </si>
  <si>
    <t>Строительство</t>
  </si>
  <si>
    <t>Проектирование</t>
  </si>
  <si>
    <t>Завершен</t>
  </si>
  <si>
    <t>Текущие проекты в Новосибирской области</t>
  </si>
  <si>
    <t>Новосибирск</t>
  </si>
  <si>
    <t>Текущие проекты в Екатеринбурге</t>
  </si>
  <si>
    <t>Казань</t>
  </si>
  <si>
    <t>Квартал Сюита</t>
  </si>
  <si>
    <t>Непроданный паркинг, кв. м (доля Компании)</t>
  </si>
  <si>
    <t xml:space="preserve">Продаваемая/ сдаваемая в аренду площадь, включая паркинг, кв. м </t>
  </si>
  <si>
    <t>Непроданная реализуемая площадь, включая паркинг, кв. м (доля Компании)</t>
  </si>
  <si>
    <t>1П 2024</t>
  </si>
  <si>
    <t xml:space="preserve"> 30.06.2024</t>
  </si>
  <si>
    <t>(Прибыль)/Убыток от выбытия инвестиционной недвижимости</t>
  </si>
  <si>
    <t>(Прибыль)/убыток от выбытия объектов недвижимости в стадии строительства</t>
  </si>
  <si>
    <t>3 кв. 2024</t>
  </si>
  <si>
    <t>4 кв. 2024</t>
  </si>
  <si>
    <t>ОТЧЕТ О ПРИБЫЛЯХ И УБЫТКЕ</t>
  </si>
  <si>
    <t>2П 2024</t>
  </si>
  <si>
    <t>Будущая экономия на процентах по заключенным договорам проектного финансирования с использованием счетов эскроу</t>
  </si>
  <si>
    <t>2П2024</t>
  </si>
  <si>
    <t>Прибыль от списания кредиторской задолженности</t>
  </si>
  <si>
    <t>Убыток от выбытия нематериальных активов</t>
  </si>
  <si>
    <t>Изменение затрат на заключение договоров</t>
  </si>
  <si>
    <t>Изменение будущей экономии на процентах по заключенным договорам проектного финансирования с использованием счетов эскроу</t>
  </si>
  <si>
    <t>Операционный денежный поток (ОСF) за вычетом выплаченных процентов</t>
  </si>
  <si>
    <t>Доходы будущих периодов</t>
  </si>
  <si>
    <t>1 кв. 2025</t>
  </si>
  <si>
    <t>2023, 2025 - 2032</t>
  </si>
  <si>
    <t>2022 - 2023, 2027 - 2028</t>
  </si>
  <si>
    <t>2028 - 2032</t>
  </si>
  <si>
    <t>2024 - 2036</t>
  </si>
  <si>
    <t>2026, 2028 - 2031</t>
  </si>
  <si>
    <t>2024 - 2038</t>
  </si>
  <si>
    <t>2024 - 2025</t>
  </si>
  <si>
    <t>2022 - 2025, 2027 - 2028</t>
  </si>
  <si>
    <t>2026, 2028 - 2038</t>
  </si>
  <si>
    <t>2025 - 2029</t>
  </si>
  <si>
    <t>2025, 2028</t>
  </si>
  <si>
    <t>2019 - 2024</t>
  </si>
  <si>
    <t>2021, 2023, 2024</t>
  </si>
  <si>
    <t>Domino Premium</t>
  </si>
  <si>
    <t>Plots for sale</t>
  </si>
  <si>
    <t>MariInn Park (Октябрьская)</t>
  </si>
  <si>
    <t>SokolInn Park (Гражданская)</t>
  </si>
  <si>
    <t>Крылья</t>
  </si>
  <si>
    <t>Фотиевой</t>
  </si>
  <si>
    <t>Наименование проекта</t>
  </si>
  <si>
    <t>Затраты на строительство до 2025, млн руб.</t>
  </si>
  <si>
    <t xml:space="preserve">Задолженность по платежам за реализованные площади с 2025 года, млн руб. </t>
  </si>
  <si>
    <t xml:space="preserve">Поступления от продаж с 2025 года, млн руб. </t>
  </si>
  <si>
    <t>Средства на эскроу на 31.12.2024, млн руб.</t>
  </si>
  <si>
    <t>Основной долг на 31.12.2024, млн руб.</t>
  </si>
  <si>
    <t>Платежи за землю до 2025 года, млн руб.</t>
  </si>
  <si>
    <t>Текущие проекты в Московском регионе</t>
  </si>
  <si>
    <t>Итого по текущим проектам в Московском регионе</t>
  </si>
  <si>
    <t>Ленинградская область</t>
  </si>
  <si>
    <t>Итого по текущим проектам в Санкт-Петербурге</t>
  </si>
  <si>
    <t>Проект на улице Профессора Попова (Петроградский район)</t>
  </si>
  <si>
    <t>Клюква.Парк (Шушары)</t>
  </si>
  <si>
    <t>ЖК Пушкин Village</t>
  </si>
  <si>
    <t>Московское шоссе 13</t>
  </si>
  <si>
    <t>Киевская</t>
  </si>
  <si>
    <t>Мурино</t>
  </si>
  <si>
    <t>наб. Пряжки</t>
  </si>
  <si>
    <t>Тюмень (Интернациональная)</t>
  </si>
  <si>
    <t>Итого по текущим проектам в регионах</t>
  </si>
  <si>
    <t>Завершенные проекты в Московском регионе</t>
  </si>
  <si>
    <t>ЖК Десятка</t>
  </si>
  <si>
    <t>ЖК Финский</t>
  </si>
  <si>
    <t>Итого по завершенным проектам в Московском регионе</t>
  </si>
  <si>
    <t>Итого по завершенным проектам в Санкт-Петербурге</t>
  </si>
  <si>
    <t>Итого по завершенным проектам в регионах</t>
  </si>
  <si>
    <t>Итого по жилым проектам</t>
  </si>
  <si>
    <t>Предполагаемый рыночный доход от аренды, млн руб./год, вкл. OPEX, без НДС</t>
  </si>
  <si>
    <t>Ростов-на-Дону</t>
  </si>
  <si>
    <t>Кумжаград</t>
  </si>
  <si>
    <t>Итого по земельным участкам на продажу</t>
  </si>
  <si>
    <t>Итого по портфелю проектов</t>
  </si>
  <si>
    <t>Итого по зданиям для собственного использования</t>
  </si>
  <si>
    <t>Стоимость производственных единиц</t>
  </si>
  <si>
    <t>Итого по производственному блоку</t>
  </si>
  <si>
    <t>Собственность и инвестиционный договор</t>
  </si>
  <si>
    <t>Оценка активов</t>
  </si>
  <si>
    <t>2 кв. 2025</t>
  </si>
  <si>
    <t>1П 2025</t>
  </si>
  <si>
    <t>Изменения в резерве под ожидаемые кредитные убытки</t>
  </si>
  <si>
    <t>Прочие доходы/(расходы), нетто</t>
  </si>
  <si>
    <t>(Расход по налогу на прибыль)/Доход по налогу на прибыль</t>
  </si>
  <si>
    <t>Убыток от обесценения запасов/(Восстановление убытка)</t>
  </si>
  <si>
    <t>Изменения в резервах под ожидаемые кредитные убытки</t>
  </si>
  <si>
    <t>Расходы по налогу на прибыль/(Доходы)</t>
  </si>
  <si>
    <t>Изменение дебиторской задолженности и авансов выданных</t>
  </si>
  <si>
    <t>Переоценка резерва под обесценение авансов выданных</t>
  </si>
  <si>
    <t>3 кв.2025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</si>
</sst>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(* #,##0.00_);_(* \(#,##0.00\);_(* &quot;-&quot;??_);_(@_)"/>
    <numFmt numFmtId="165" formatCode="#,##0;\ \(#,##0\)"/>
    <numFmt numFmtId="166" formatCode="#,##0.00;\ \(#,##0.00\)"/>
    <numFmt numFmtId="167" formatCode="#,##0;\ \(#,##0\);\ \-"/>
    <numFmt numFmtId="168" formatCode="#,##0.00;\-#,##0.00;0.00"/>
    <numFmt numFmtId="169" formatCode="_(* #,##0_);_(* \(#,##0\);_(* &quot;-&quot;??_);_(@_)"/>
    <numFmt numFmtId="170" formatCode="#,##0.0"/>
    <numFmt numFmtId="171" formatCode="0.0%"/>
    <numFmt numFmtId="172" formatCode="[$-409]mmm\-yy;@"/>
    <numFmt numFmtId="173" formatCode="0.0"/>
  </numFmts>
  <fonts count="45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b/>
      <sz val="14"/>
      <color rgb="FF00206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sz val="10"/>
      <color rgb="FF002060"/>
      <name val="Arial"/>
      <family val="2"/>
      <charset val="204"/>
    </font>
    <font>
      <sz val="10"/>
      <color theme="1"/>
      <name val="Arial"/>
      <family val="2"/>
      <charset val="204"/>
    </font>
    <font>
      <i/>
      <sz val="10"/>
      <color rgb="FF000000"/>
      <name val="Arial"/>
      <family val="2"/>
      <charset val="204"/>
    </font>
    <font>
      <vertAlign val="superscript"/>
      <sz val="10"/>
      <color rgb="FF000000"/>
      <name val="Arial"/>
      <family val="2"/>
      <charset val="204"/>
    </font>
    <font>
      <sz val="11"/>
      <color rgb="FF000000"/>
      <name val="Arial"/>
      <family val="2"/>
      <charset val="204"/>
    </font>
    <font>
      <b/>
      <sz val="10"/>
      <color theme="3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b/>
      <sz val="10"/>
      <color theme="1"/>
      <name val="Arial"/>
      <family val="2"/>
      <charset val="204"/>
    </font>
    <font>
      <i/>
      <sz val="10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b/>
      <sz val="11"/>
      <color rgb="FF002060"/>
      <name val="Arial"/>
      <family val="2"/>
      <charset val="204"/>
    </font>
    <font>
      <b/>
      <sz val="10"/>
      <color rgb="FF00B0F0"/>
      <name val="Arial"/>
      <family val="2"/>
      <charset val="204"/>
    </font>
    <font>
      <b/>
      <sz val="10"/>
      <color indexed="8"/>
      <name val="Arial"/>
      <family val="2"/>
      <charset val="204"/>
    </font>
    <font>
      <u/>
      <sz val="12"/>
      <color rgb="FF606F80"/>
      <name val="Arial"/>
      <family val="2"/>
      <charset val="204"/>
    </font>
    <font>
      <b/>
      <sz val="24"/>
      <color rgb="FF00B0F0"/>
      <name val="Arial"/>
      <family val="2"/>
      <charset val="204"/>
    </font>
    <font>
      <sz val="16"/>
      <color rgb="FFFFFFFF"/>
      <name val="Arial"/>
      <family val="2"/>
      <charset val="204"/>
    </font>
    <font>
      <sz val="16"/>
      <color rgb="FF000000"/>
      <name val="Arial"/>
      <family val="2"/>
      <charset val="204"/>
    </font>
    <font>
      <b/>
      <sz val="18"/>
      <color rgb="FF002060"/>
      <name val="Arial"/>
      <family val="2"/>
      <charset val="204"/>
    </font>
    <font>
      <u/>
      <sz val="14"/>
      <color rgb="FF002060"/>
      <name val="Arial"/>
      <family val="2"/>
      <charset val="204"/>
    </font>
    <font>
      <sz val="12"/>
      <color rgb="FF606F80"/>
      <name val="Arial"/>
      <family val="2"/>
      <charset val="204"/>
    </font>
    <font>
      <u/>
      <sz val="14"/>
      <color rgb="FF606F80"/>
      <name val="Arial"/>
      <family val="2"/>
      <charset val="204"/>
    </font>
    <font>
      <sz val="10"/>
      <name val="Arial Cyr"/>
    </font>
    <font>
      <sz val="8"/>
      <name val="Calibri"/>
      <family val="2"/>
      <charset val="204"/>
      <scheme val="minor"/>
    </font>
    <font>
      <u/>
      <sz val="11"/>
      <color theme="10"/>
      <name val="Arial"/>
      <family val="2"/>
      <charset val="204"/>
    </font>
    <font>
      <b/>
      <sz val="10"/>
      <color theme="4" tint="-0.499984740745262"/>
      <name val="Arial"/>
      <family val="2"/>
      <charset val="204"/>
    </font>
    <font>
      <sz val="7"/>
      <color theme="0"/>
      <name val="Verdana"/>
      <family val="2"/>
      <charset val="204"/>
    </font>
    <font>
      <sz val="7"/>
      <color theme="1"/>
      <name val="Verdana"/>
      <family val="2"/>
      <charset val="204"/>
    </font>
    <font>
      <i/>
      <sz val="7"/>
      <color theme="0"/>
      <name val="Verdana"/>
      <family val="2"/>
      <charset val="204"/>
    </font>
    <font>
      <sz val="7"/>
      <color rgb="FF4A4A4D"/>
      <name val="Verdana"/>
      <family val="2"/>
      <charset val="204"/>
    </font>
    <font>
      <i/>
      <sz val="7"/>
      <color rgb="FF4A4A4D"/>
      <name val="Verdana"/>
      <family val="2"/>
      <charset val="204"/>
    </font>
    <font>
      <b/>
      <sz val="7"/>
      <color rgb="FF4A4A4D"/>
      <name val="Verdana"/>
      <family val="2"/>
      <charset val="204"/>
    </font>
    <font>
      <b/>
      <i/>
      <sz val="7"/>
      <color rgb="FF4A4A4D"/>
      <name val="Verdana"/>
      <family val="2"/>
      <charset val="204"/>
    </font>
    <font>
      <sz val="7"/>
      <color rgb="FF4B4B4B"/>
      <name val="Verdana"/>
      <family val="2"/>
      <charset val="204"/>
    </font>
    <font>
      <sz val="7"/>
      <color rgb="FFFF0000"/>
      <name val="Verdana"/>
      <family val="2"/>
      <charset val="204"/>
    </font>
    <font>
      <b/>
      <sz val="7"/>
      <color rgb="FF4B4B4B"/>
      <name val="Verdana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3250BF"/>
        <bgColor indexed="64"/>
      </patternFill>
    </fill>
    <fill>
      <patternFill patternType="solid">
        <fgColor rgb="FFD4E2FF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3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13">
    <xf numFmtId="0" fontId="0" fillId="0" borderId="0"/>
    <xf numFmtId="0" fontId="3" fillId="0" borderId="0" applyNumberFormat="0" applyFill="0" applyBorder="0" applyAlignment="0" applyProtection="0"/>
    <xf numFmtId="0" fontId="4" fillId="0" borderId="0"/>
    <xf numFmtId="0" fontId="2" fillId="0" borderId="0"/>
    <xf numFmtId="168" fontId="31" fillId="0" borderId="0" applyFill="0" applyBorder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211">
    <xf numFmtId="0" fontId="0" fillId="0" borderId="0" xfId="0"/>
    <xf numFmtId="0" fontId="5" fillId="0" borderId="0" xfId="2" applyFont="1"/>
    <xf numFmtId="0" fontId="6" fillId="0" borderId="1" xfId="2" applyFont="1" applyBorder="1"/>
    <xf numFmtId="0" fontId="7" fillId="0" borderId="1" xfId="2" applyFont="1" applyBorder="1" applyAlignment="1">
      <alignment horizontal="center"/>
    </xf>
    <xf numFmtId="0" fontId="8" fillId="0" borderId="0" xfId="3" applyFont="1" applyAlignment="1">
      <alignment wrapText="1"/>
    </xf>
    <xf numFmtId="0" fontId="9" fillId="0" borderId="0" xfId="0" applyFont="1"/>
    <xf numFmtId="4" fontId="10" fillId="0" borderId="0" xfId="2" applyNumberFormat="1" applyFont="1"/>
    <xf numFmtId="165" fontId="6" fillId="0" borderId="0" xfId="2" applyNumberFormat="1" applyFont="1"/>
    <xf numFmtId="0" fontId="6" fillId="0" borderId="0" xfId="2" applyFont="1"/>
    <xf numFmtId="4" fontId="6" fillId="0" borderId="0" xfId="2" applyNumberFormat="1" applyFont="1"/>
    <xf numFmtId="0" fontId="7" fillId="0" borderId="0" xfId="2" applyFont="1" applyAlignment="1">
      <alignment horizontal="center"/>
    </xf>
    <xf numFmtId="166" fontId="6" fillId="0" borderId="0" xfId="2" applyNumberFormat="1" applyFont="1"/>
    <xf numFmtId="0" fontId="8" fillId="0" borderId="0" xfId="2" applyFont="1"/>
    <xf numFmtId="3" fontId="6" fillId="0" borderId="0" xfId="2" applyNumberFormat="1" applyFont="1"/>
    <xf numFmtId="0" fontId="6" fillId="0" borderId="2" xfId="2" applyFont="1" applyBorder="1"/>
    <xf numFmtId="4" fontId="10" fillId="0" borderId="2" xfId="2" applyNumberFormat="1" applyFont="1" applyBorder="1"/>
    <xf numFmtId="3" fontId="6" fillId="0" borderId="2" xfId="2" applyNumberFormat="1" applyFont="1" applyBorder="1"/>
    <xf numFmtId="0" fontId="10" fillId="0" borderId="0" xfId="2" applyFont="1"/>
    <xf numFmtId="0" fontId="12" fillId="0" borderId="1" xfId="2" applyFont="1" applyBorder="1" applyAlignment="1">
      <alignment horizontal="center" vertical="center"/>
    </xf>
    <xf numFmtId="167" fontId="6" fillId="0" borderId="0" xfId="2" applyNumberFormat="1" applyFont="1"/>
    <xf numFmtId="167" fontId="6" fillId="0" borderId="0" xfId="2" applyNumberFormat="1" applyFont="1" applyAlignment="1">
      <alignment horizontal="right" vertical="center"/>
    </xf>
    <xf numFmtId="0" fontId="6" fillId="0" borderId="0" xfId="2" applyFont="1" applyAlignment="1">
      <alignment horizontal="left" indent="1"/>
    </xf>
    <xf numFmtId="0" fontId="6" fillId="0" borderId="0" xfId="2" applyFont="1" applyAlignment="1">
      <alignment horizontal="left" indent="3"/>
    </xf>
    <xf numFmtId="4" fontId="10" fillId="0" borderId="3" xfId="2" applyNumberFormat="1" applyFont="1" applyBorder="1"/>
    <xf numFmtId="167" fontId="6" fillId="0" borderId="3" xfId="2" applyNumberFormat="1" applyFont="1" applyBorder="1" applyAlignment="1">
      <alignment horizontal="right" vertical="center"/>
    </xf>
    <xf numFmtId="167" fontId="6" fillId="0" borderId="3" xfId="2" applyNumberFormat="1" applyFont="1" applyBorder="1"/>
    <xf numFmtId="0" fontId="7" fillId="0" borderId="0" xfId="2" applyFont="1"/>
    <xf numFmtId="167" fontId="7" fillId="0" borderId="0" xfId="2" applyNumberFormat="1" applyFont="1" applyAlignment="1">
      <alignment horizontal="right" vertical="center"/>
    </xf>
    <xf numFmtId="167" fontId="7" fillId="0" borderId="0" xfId="2" applyNumberFormat="1" applyFont="1"/>
    <xf numFmtId="167" fontId="7" fillId="0" borderId="2" xfId="2" applyNumberFormat="1" applyFont="1" applyBorder="1" applyAlignment="1">
      <alignment horizontal="right" vertical="center"/>
    </xf>
    <xf numFmtId="0" fontId="8" fillId="0" borderId="0" xfId="0" applyFont="1"/>
    <xf numFmtId="0" fontId="8" fillId="0" borderId="4" xfId="0" applyFont="1" applyBorder="1"/>
    <xf numFmtId="167" fontId="9" fillId="0" borderId="0" xfId="0" applyNumberFormat="1" applyFont="1"/>
    <xf numFmtId="0" fontId="17" fillId="0" borderId="1" xfId="0" applyFont="1" applyBorder="1" applyAlignment="1">
      <alignment horizontal="left" vertical="center"/>
    </xf>
    <xf numFmtId="49" fontId="7" fillId="0" borderId="0" xfId="0" applyNumberFormat="1" applyFont="1" applyAlignment="1">
      <alignment vertical="top" wrapText="1"/>
    </xf>
    <xf numFmtId="0" fontId="8" fillId="0" borderId="1" xfId="0" applyFont="1" applyBorder="1"/>
    <xf numFmtId="0" fontId="20" fillId="0" borderId="0" xfId="0" applyFont="1"/>
    <xf numFmtId="0" fontId="16" fillId="0" borderId="0" xfId="0" applyFont="1"/>
    <xf numFmtId="0" fontId="19" fillId="0" borderId="0" xfId="0" applyFont="1"/>
    <xf numFmtId="49" fontId="21" fillId="0" borderId="2" xfId="0" applyNumberFormat="1" applyFont="1" applyBorder="1" applyAlignment="1">
      <alignment vertical="top" wrapText="1"/>
    </xf>
    <xf numFmtId="0" fontId="17" fillId="0" borderId="4" xfId="0" applyFont="1" applyBorder="1"/>
    <xf numFmtId="49" fontId="21" fillId="0" borderId="0" xfId="0" applyNumberFormat="1" applyFont="1" applyAlignment="1">
      <alignment vertical="top" wrapText="1"/>
    </xf>
    <xf numFmtId="49" fontId="8" fillId="0" borderId="1" xfId="0" applyNumberFormat="1" applyFont="1" applyBorder="1" applyAlignment="1">
      <alignment vertical="top" wrapText="1"/>
    </xf>
    <xf numFmtId="0" fontId="8" fillId="0" borderId="6" xfId="0" applyFont="1" applyBorder="1"/>
    <xf numFmtId="49" fontId="7" fillId="0" borderId="2" xfId="0" applyNumberFormat="1" applyFont="1" applyBorder="1" applyAlignment="1">
      <alignment vertical="top" wrapText="1"/>
    </xf>
    <xf numFmtId="49" fontId="22" fillId="0" borderId="1" xfId="0" applyNumberFormat="1" applyFont="1" applyBorder="1" applyAlignment="1">
      <alignment horizontal="left" vertical="top" wrapText="1"/>
    </xf>
    <xf numFmtId="49" fontId="22" fillId="0" borderId="0" xfId="0" applyNumberFormat="1" applyFont="1" applyAlignment="1">
      <alignment horizontal="left" vertical="top" wrapText="1"/>
    </xf>
    <xf numFmtId="0" fontId="21" fillId="0" borderId="0" xfId="3" applyFont="1" applyAlignment="1">
      <alignment wrapText="1"/>
    </xf>
    <xf numFmtId="0" fontId="8" fillId="0" borderId="1" xfId="3" applyFont="1" applyBorder="1" applyAlignment="1">
      <alignment wrapText="1"/>
    </xf>
    <xf numFmtId="0" fontId="13" fillId="0" borderId="0" xfId="3" applyFont="1" applyAlignment="1">
      <alignment wrapText="1"/>
    </xf>
    <xf numFmtId="0" fontId="14" fillId="0" borderId="0" xfId="3" applyFont="1" applyAlignment="1">
      <alignment wrapText="1"/>
    </xf>
    <xf numFmtId="0" fontId="5" fillId="0" borderId="0" xfId="0" applyFont="1"/>
    <xf numFmtId="0" fontId="23" fillId="0" borderId="0" xfId="1" applyFont="1"/>
    <xf numFmtId="0" fontId="24" fillId="0" borderId="0" xfId="0" applyFont="1"/>
    <xf numFmtId="0" fontId="25" fillId="0" borderId="0" xfId="0" applyFont="1" applyAlignment="1">
      <alignment horizontal="left" vertical="center"/>
    </xf>
    <xf numFmtId="0" fontId="28" fillId="2" borderId="0" xfId="1" applyFont="1" applyFill="1" applyBorder="1" applyAlignment="1">
      <alignment horizontal="right" vertical="center"/>
    </xf>
    <xf numFmtId="0" fontId="29" fillId="0" borderId="0" xfId="0" applyFont="1" applyAlignment="1">
      <alignment horizontal="left" vertical="center"/>
    </xf>
    <xf numFmtId="0" fontId="30" fillId="2" borderId="0" xfId="1" applyFont="1" applyFill="1" applyBorder="1" applyAlignment="1">
      <alignment horizontal="right" vertical="center"/>
    </xf>
    <xf numFmtId="0" fontId="27" fillId="0" borderId="0" xfId="0" applyFont="1"/>
    <xf numFmtId="167" fontId="8" fillId="0" borderId="4" xfId="0" applyNumberFormat="1" applyFont="1" applyBorder="1"/>
    <xf numFmtId="0" fontId="9" fillId="0" borderId="0" xfId="0" applyFont="1" applyAlignment="1">
      <alignment horizontal="left" indent="1"/>
    </xf>
    <xf numFmtId="165" fontId="6" fillId="0" borderId="0" xfId="2" applyNumberFormat="1" applyFont="1" applyFill="1"/>
    <xf numFmtId="167" fontId="6" fillId="0" borderId="0" xfId="2" applyNumberFormat="1" applyFont="1" applyFill="1"/>
    <xf numFmtId="167" fontId="7" fillId="0" borderId="0" xfId="2" applyNumberFormat="1" applyFont="1" applyFill="1"/>
    <xf numFmtId="167" fontId="6" fillId="0" borderId="2" xfId="2" applyNumberFormat="1" applyFont="1" applyBorder="1" applyAlignment="1">
      <alignment horizontal="right" vertical="center"/>
    </xf>
    <xf numFmtId="0" fontId="12" fillId="0" borderId="0" xfId="2" applyFont="1"/>
    <xf numFmtId="0" fontId="33" fillId="0" borderId="0" xfId="1" applyFont="1"/>
    <xf numFmtId="165" fontId="9" fillId="0" borderId="0" xfId="0" applyNumberFormat="1" applyFont="1"/>
    <xf numFmtId="2" fontId="9" fillId="0" borderId="0" xfId="0" applyNumberFormat="1" applyFont="1"/>
    <xf numFmtId="1" fontId="9" fillId="0" borderId="0" xfId="0" applyNumberFormat="1" applyFont="1"/>
    <xf numFmtId="0" fontId="18" fillId="0" borderId="0" xfId="0" applyFont="1"/>
    <xf numFmtId="0" fontId="16" fillId="0" borderId="1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167" fontId="16" fillId="0" borderId="0" xfId="0" applyNumberFormat="1" applyFont="1"/>
    <xf numFmtId="167" fontId="8" fillId="0" borderId="1" xfId="0" applyNumberFormat="1" applyFont="1" applyBorder="1"/>
    <xf numFmtId="167" fontId="34" fillId="0" borderId="4" xfId="0" applyNumberFormat="1" applyFont="1" applyBorder="1"/>
    <xf numFmtId="167" fontId="9" fillId="0" borderId="4" xfId="0" applyNumberFormat="1" applyFont="1" applyBorder="1"/>
    <xf numFmtId="167" fontId="9" fillId="0" borderId="2" xfId="0" applyNumberFormat="1" applyFont="1" applyBorder="1"/>
    <xf numFmtId="167" fontId="9" fillId="0" borderId="5" xfId="0" applyNumberFormat="1" applyFont="1" applyBorder="1"/>
    <xf numFmtId="0" fontId="9" fillId="0" borderId="0" xfId="0" quotePrefix="1" applyFont="1"/>
    <xf numFmtId="0" fontId="9" fillId="0" borderId="4" xfId="0" applyFont="1" applyBorder="1"/>
    <xf numFmtId="167" fontId="16" fillId="0" borderId="0" xfId="0" quotePrefix="1" applyNumberFormat="1" applyFont="1"/>
    <xf numFmtId="167" fontId="9" fillId="0" borderId="0" xfId="0" quotePrefix="1" applyNumberFormat="1" applyFont="1"/>
    <xf numFmtId="167" fontId="8" fillId="0" borderId="4" xfId="0" quotePrefix="1" applyNumberFormat="1" applyFont="1" applyBorder="1"/>
    <xf numFmtId="3" fontId="9" fillId="0" borderId="4" xfId="0" applyNumberFormat="1" applyFont="1" applyBorder="1"/>
    <xf numFmtId="0" fontId="16" fillId="0" borderId="4" xfId="0" applyFont="1" applyBorder="1" applyAlignment="1">
      <alignment horizontal="center" vertical="center"/>
    </xf>
    <xf numFmtId="0" fontId="16" fillId="0" borderId="4" xfId="0" applyFont="1" applyBorder="1"/>
    <xf numFmtId="0" fontId="16" fillId="0" borderId="4" xfId="0" quotePrefix="1" applyFont="1" applyBorder="1"/>
    <xf numFmtId="14" fontId="16" fillId="0" borderId="1" xfId="0" applyNumberFormat="1" applyFont="1" applyBorder="1" applyAlignment="1">
      <alignment horizontal="center"/>
    </xf>
    <xf numFmtId="14" fontId="16" fillId="0" borderId="4" xfId="0" applyNumberFormat="1" applyFont="1" applyBorder="1"/>
    <xf numFmtId="167" fontId="15" fillId="0" borderId="0" xfId="0" applyNumberFormat="1" applyFont="1"/>
    <xf numFmtId="167" fontId="9" fillId="0" borderId="6" xfId="0" applyNumberFormat="1" applyFont="1" applyBorder="1"/>
    <xf numFmtId="0" fontId="9" fillId="0" borderId="5" xfId="0" applyFont="1" applyBorder="1"/>
    <xf numFmtId="167" fontId="9" fillId="0" borderId="0" xfId="0" applyNumberFormat="1" applyFont="1" applyFill="1"/>
    <xf numFmtId="167" fontId="16" fillId="0" borderId="2" xfId="0" applyNumberFormat="1" applyFont="1" applyBorder="1"/>
    <xf numFmtId="3" fontId="34" fillId="0" borderId="4" xfId="0" applyNumberFormat="1" applyFont="1" applyBorder="1"/>
    <xf numFmtId="167" fontId="17" fillId="0" borderId="0" xfId="0" applyNumberFormat="1" applyFont="1"/>
    <xf numFmtId="0" fontId="17" fillId="0" borderId="0" xfId="0" applyFont="1" applyAlignment="1">
      <alignment horizontal="left" indent="1"/>
    </xf>
    <xf numFmtId="167" fontId="9" fillId="0" borderId="0" xfId="0" applyNumberFormat="1" applyFont="1" applyAlignment="1">
      <alignment horizontal="right"/>
    </xf>
    <xf numFmtId="167" fontId="16" fillId="0" borderId="1" xfId="0" applyNumberFormat="1" applyFont="1" applyBorder="1"/>
    <xf numFmtId="167" fontId="16" fillId="0" borderId="4" xfId="0" applyNumberFormat="1" applyFont="1" applyBorder="1"/>
    <xf numFmtId="4" fontId="10" fillId="0" borderId="1" xfId="2" applyNumberFormat="1" applyFont="1" applyBorder="1" applyAlignment="1">
      <alignment horizontal="center" vertical="center"/>
    </xf>
    <xf numFmtId="0" fontId="7" fillId="0" borderId="1" xfId="2" applyFont="1" applyBorder="1" applyAlignment="1">
      <alignment horizontal="center" vertical="center"/>
    </xf>
    <xf numFmtId="0" fontId="6" fillId="0" borderId="0" xfId="2" applyFont="1" applyAlignment="1">
      <alignment horizontal="center" vertical="center"/>
    </xf>
    <xf numFmtId="0" fontId="6" fillId="0" borderId="1" xfId="2" applyFont="1" applyBorder="1" applyAlignment="1">
      <alignment horizontal="center" vertical="center"/>
    </xf>
    <xf numFmtId="3" fontId="9" fillId="0" borderId="0" xfId="0" applyNumberFormat="1" applyFont="1"/>
    <xf numFmtId="4" fontId="9" fillId="0" borderId="0" xfId="0" applyNumberFormat="1" applyFont="1"/>
    <xf numFmtId="167" fontId="9" fillId="0" borderId="0" xfId="0" applyNumberFormat="1" applyFont="1" applyAlignment="1">
      <alignment horizontal="right" vertical="center"/>
    </xf>
    <xf numFmtId="167" fontId="6" fillId="0" borderId="2" xfId="2" applyNumberFormat="1" applyFont="1" applyBorder="1"/>
    <xf numFmtId="0" fontId="36" fillId="0" borderId="0" xfId="0" applyFont="1" applyAlignment="1">
      <alignment vertical="center" wrapText="1"/>
    </xf>
    <xf numFmtId="0" fontId="35" fillId="3" borderId="12" xfId="5" applyFont="1" applyFill="1" applyBorder="1" applyAlignment="1">
      <alignment horizontal="center" vertical="center" wrapText="1"/>
    </xf>
    <xf numFmtId="3" fontId="35" fillId="3" borderId="12" xfId="5" applyNumberFormat="1" applyFont="1" applyFill="1" applyBorder="1" applyAlignment="1">
      <alignment horizontal="center" vertical="center" wrapText="1"/>
    </xf>
    <xf numFmtId="0" fontId="35" fillId="3" borderId="12" xfId="6" applyFont="1" applyFill="1" applyBorder="1" applyAlignment="1">
      <alignment horizontal="center" vertical="center" wrapText="1"/>
    </xf>
    <xf numFmtId="0" fontId="35" fillId="3" borderId="11" xfId="5" applyFont="1" applyFill="1" applyBorder="1" applyAlignment="1">
      <alignment horizontal="left" vertical="center" wrapText="1"/>
    </xf>
    <xf numFmtId="3" fontId="35" fillId="3" borderId="12" xfId="5" applyNumberFormat="1" applyFont="1" applyFill="1" applyBorder="1" applyAlignment="1">
      <alignment horizontal="right" vertical="center" wrapText="1"/>
    </xf>
    <xf numFmtId="0" fontId="37" fillId="3" borderId="12" xfId="6" applyFont="1" applyFill="1" applyBorder="1" applyAlignment="1">
      <alignment horizontal="center" vertical="center" wrapText="1"/>
    </xf>
    <xf numFmtId="0" fontId="38" fillId="0" borderId="12" xfId="7" applyFont="1" applyBorder="1" applyAlignment="1">
      <alignment horizontal="center" vertical="center" wrapText="1"/>
    </xf>
    <xf numFmtId="0" fontId="38" fillId="0" borderId="12" xfId="7" applyFont="1" applyBorder="1" applyAlignment="1">
      <alignment horizontal="left" vertical="center" wrapText="1"/>
    </xf>
    <xf numFmtId="3" fontId="38" fillId="0" borderId="12" xfId="7" applyNumberFormat="1" applyFont="1" applyBorder="1" applyAlignment="1">
      <alignment horizontal="right" vertical="center" wrapText="1"/>
    </xf>
    <xf numFmtId="3" fontId="38" fillId="0" borderId="12" xfId="7" applyNumberFormat="1" applyFont="1" applyBorder="1" applyAlignment="1">
      <alignment horizontal="center" vertical="center" wrapText="1"/>
    </xf>
    <xf numFmtId="170" fontId="38" fillId="0" borderId="12" xfId="7" applyNumberFormat="1" applyFont="1" applyBorder="1" applyAlignment="1">
      <alignment horizontal="center" vertical="center" wrapText="1"/>
    </xf>
    <xf numFmtId="171" fontId="38" fillId="0" borderId="12" xfId="12" applyNumberFormat="1" applyFont="1" applyFill="1" applyBorder="1" applyAlignment="1">
      <alignment horizontal="center" vertical="center" wrapText="1"/>
    </xf>
    <xf numFmtId="3" fontId="38" fillId="0" borderId="12" xfId="7" applyNumberFormat="1" applyFont="1" applyBorder="1" applyAlignment="1">
      <alignment horizontal="right" vertical="center"/>
    </xf>
    <xf numFmtId="172" fontId="38" fillId="0" borderId="12" xfId="7" applyNumberFormat="1" applyFont="1" applyBorder="1" applyAlignment="1">
      <alignment horizontal="center" vertical="center" wrapText="1"/>
    </xf>
    <xf numFmtId="3" fontId="39" fillId="0" borderId="12" xfId="7" applyNumberFormat="1" applyFont="1" applyBorder="1" applyAlignment="1">
      <alignment horizontal="right" vertical="center" wrapText="1"/>
    </xf>
    <xf numFmtId="0" fontId="38" fillId="0" borderId="0" xfId="0" applyFont="1" applyAlignment="1">
      <alignment vertical="center" wrapText="1"/>
    </xf>
    <xf numFmtId="169" fontId="40" fillId="4" borderId="12" xfId="7" applyNumberFormat="1" applyFont="1" applyFill="1" applyBorder="1" applyAlignment="1">
      <alignment horizontal="center" vertical="center"/>
    </xf>
    <xf numFmtId="0" fontId="40" fillId="4" borderId="12" xfId="7" applyFont="1" applyFill="1" applyBorder="1" applyAlignment="1">
      <alignment horizontal="left" vertical="center"/>
    </xf>
    <xf numFmtId="3" fontId="40" fillId="4" borderId="12" xfId="7" applyNumberFormat="1" applyFont="1" applyFill="1" applyBorder="1" applyAlignment="1">
      <alignment horizontal="right" vertical="center"/>
    </xf>
    <xf numFmtId="3" fontId="40" fillId="4" borderId="12" xfId="7" applyNumberFormat="1" applyFont="1" applyFill="1" applyBorder="1" applyAlignment="1">
      <alignment horizontal="center" vertical="center"/>
    </xf>
    <xf numFmtId="3" fontId="41" fillId="4" borderId="12" xfId="7" applyNumberFormat="1" applyFont="1" applyFill="1" applyBorder="1" applyAlignment="1">
      <alignment horizontal="right" vertical="center"/>
    </xf>
    <xf numFmtId="3" fontId="38" fillId="0" borderId="12" xfId="7" applyNumberFormat="1" applyFont="1" applyFill="1" applyBorder="1" applyAlignment="1">
      <alignment horizontal="right" vertical="center" wrapText="1"/>
    </xf>
    <xf numFmtId="0" fontId="36" fillId="0" borderId="0" xfId="0" applyFont="1" applyAlignment="1">
      <alignment horizontal="center" vertical="center" wrapText="1"/>
    </xf>
    <xf numFmtId="3" fontId="36" fillId="0" borderId="0" xfId="0" applyNumberFormat="1" applyFont="1" applyAlignment="1">
      <alignment horizontal="right" vertical="center" wrapText="1"/>
    </xf>
    <xf numFmtId="3" fontId="36" fillId="0" borderId="0" xfId="0" applyNumberFormat="1" applyFont="1" applyAlignment="1">
      <alignment vertical="center" wrapText="1"/>
    </xf>
    <xf numFmtId="3" fontId="36" fillId="0" borderId="0" xfId="0" applyNumberFormat="1" applyFont="1" applyAlignment="1">
      <alignment horizontal="center" vertical="center" wrapText="1"/>
    </xf>
    <xf numFmtId="0" fontId="35" fillId="3" borderId="13" xfId="5" applyFont="1" applyFill="1" applyBorder="1" applyAlignment="1">
      <alignment horizontal="center" vertical="center" wrapText="1"/>
    </xf>
    <xf numFmtId="0" fontId="35" fillId="3" borderId="12" xfId="0" applyFont="1" applyFill="1" applyBorder="1" applyAlignment="1">
      <alignment horizontal="center" vertical="center" wrapText="1"/>
    </xf>
    <xf numFmtId="0" fontId="35" fillId="3" borderId="12" xfId="9" applyFont="1" applyFill="1" applyBorder="1" applyAlignment="1">
      <alignment horizontal="center" vertical="center" wrapText="1"/>
    </xf>
    <xf numFmtId="0" fontId="36" fillId="0" borderId="0" xfId="0" applyFont="1"/>
    <xf numFmtId="3" fontId="38" fillId="0" borderId="0" xfId="0" applyNumberFormat="1" applyFont="1" applyAlignment="1">
      <alignment horizontal="right" vertical="center" wrapText="1"/>
    </xf>
    <xf numFmtId="0" fontId="35" fillId="3" borderId="13" xfId="6" applyFont="1" applyFill="1" applyBorder="1" applyAlignment="1">
      <alignment horizontal="center" vertical="center" wrapText="1"/>
    </xf>
    <xf numFmtId="0" fontId="35" fillId="3" borderId="13" xfId="5" applyFont="1" applyFill="1" applyBorder="1" applyAlignment="1">
      <alignment horizontal="left" vertical="center" wrapText="1"/>
    </xf>
    <xf numFmtId="0" fontId="38" fillId="0" borderId="11" xfId="7" applyFont="1" applyBorder="1" applyAlignment="1">
      <alignment horizontal="center" vertical="center" wrapText="1"/>
    </xf>
    <xf numFmtId="3" fontId="43" fillId="0" borderId="0" xfId="0" applyNumberFormat="1" applyFont="1" applyAlignment="1">
      <alignment vertical="center" wrapText="1"/>
    </xf>
    <xf numFmtId="9" fontId="43" fillId="0" borderId="0" xfId="12" applyFont="1" applyAlignment="1">
      <alignment vertical="center" wrapText="1"/>
    </xf>
    <xf numFmtId="173" fontId="38" fillId="0" borderId="12" xfId="7" applyNumberFormat="1" applyFont="1" applyBorder="1" applyAlignment="1">
      <alignment horizontal="center" vertical="center" wrapText="1"/>
    </xf>
    <xf numFmtId="9" fontId="36" fillId="0" borderId="0" xfId="12" applyFont="1" applyAlignment="1">
      <alignment vertical="center" wrapText="1"/>
    </xf>
    <xf numFmtId="3" fontId="36" fillId="0" borderId="0" xfId="0" applyNumberFormat="1" applyFont="1"/>
    <xf numFmtId="0" fontId="40" fillId="4" borderId="12" xfId="7" applyFont="1" applyFill="1" applyBorder="1" applyAlignment="1">
      <alignment horizontal="left" vertical="center" wrapText="1"/>
    </xf>
    <xf numFmtId="3" fontId="40" fillId="4" borderId="12" xfId="7" applyNumberFormat="1" applyFont="1" applyFill="1" applyBorder="1" applyAlignment="1">
      <alignment horizontal="right" vertical="center" wrapText="1"/>
    </xf>
    <xf numFmtId="171" fontId="43" fillId="0" borderId="0" xfId="12" applyNumberFormat="1" applyFont="1" applyAlignment="1">
      <alignment vertical="center" wrapText="1"/>
    </xf>
    <xf numFmtId="0" fontId="42" fillId="0" borderId="12" xfId="7" applyFont="1" applyBorder="1" applyAlignment="1">
      <alignment horizontal="center" vertical="center" wrapText="1"/>
    </xf>
    <xf numFmtId="0" fontId="44" fillId="0" borderId="12" xfId="7" applyFont="1" applyBorder="1" applyAlignment="1">
      <alignment horizontal="left" vertical="center" wrapText="1"/>
    </xf>
    <xf numFmtId="3" fontId="42" fillId="0" borderId="12" xfId="7" applyNumberFormat="1" applyFont="1" applyBorder="1" applyAlignment="1">
      <alignment horizontal="right" vertical="center" wrapText="1"/>
    </xf>
    <xf numFmtId="0" fontId="35" fillId="3" borderId="12" xfId="9" applyFont="1" applyFill="1" applyBorder="1" applyAlignment="1">
      <alignment horizontal="left" vertical="center"/>
    </xf>
    <xf numFmtId="0" fontId="44" fillId="4" borderId="12" xfId="7" applyFont="1" applyFill="1" applyBorder="1" applyAlignment="1">
      <alignment horizontal="left" vertical="center" wrapText="1"/>
    </xf>
    <xf numFmtId="0" fontId="44" fillId="4" borderId="12" xfId="7" applyFont="1" applyFill="1" applyBorder="1" applyAlignment="1">
      <alignment horizontal="left" vertical="center"/>
    </xf>
    <xf numFmtId="169" fontId="44" fillId="4" borderId="12" xfId="7" applyNumberFormat="1" applyFont="1" applyFill="1" applyBorder="1" applyAlignment="1">
      <alignment horizontal="center" vertical="center"/>
    </xf>
    <xf numFmtId="3" fontId="44" fillId="4" borderId="12" xfId="7" applyNumberFormat="1" applyFont="1" applyFill="1" applyBorder="1" applyAlignment="1">
      <alignment horizontal="right" vertical="center" wrapText="1"/>
    </xf>
    <xf numFmtId="0" fontId="6" fillId="0" borderId="0" xfId="2" applyFont="1" applyAlignment="1">
      <alignment wrapText="1"/>
    </xf>
    <xf numFmtId="0" fontId="3" fillId="0" borderId="0" xfId="1"/>
    <xf numFmtId="0" fontId="3" fillId="0" borderId="0" xfId="1" applyFill="1"/>
    <xf numFmtId="0" fontId="9" fillId="0" borderId="0" xfId="0" applyFont="1" applyAlignment="1">
      <alignment wrapText="1"/>
    </xf>
    <xf numFmtId="0" fontId="3" fillId="2" borderId="0" xfId="1" applyFill="1" applyBorder="1" applyAlignment="1">
      <alignment horizontal="right" vertical="center"/>
    </xf>
    <xf numFmtId="0" fontId="35" fillId="3" borderId="11" xfId="6" applyFont="1" applyFill="1" applyBorder="1" applyAlignment="1">
      <alignment horizontal="center" vertical="center" wrapText="1"/>
    </xf>
    <xf numFmtId="0" fontId="35" fillId="3" borderId="11" xfId="5" applyFont="1" applyFill="1" applyBorder="1" applyAlignment="1">
      <alignment horizontal="center" vertical="center" wrapText="1"/>
    </xf>
    <xf numFmtId="0" fontId="0" fillId="0" borderId="0" xfId="0" applyFill="1"/>
    <xf numFmtId="3" fontId="40" fillId="0" borderId="12" xfId="7" applyNumberFormat="1" applyFont="1" applyFill="1" applyBorder="1" applyAlignment="1">
      <alignment horizontal="center" vertical="center"/>
    </xf>
    <xf numFmtId="3" fontId="41" fillId="0" borderId="12" xfId="7" applyNumberFormat="1" applyFont="1" applyFill="1" applyBorder="1" applyAlignment="1">
      <alignment horizontal="right" vertical="center"/>
    </xf>
    <xf numFmtId="0" fontId="35" fillId="0" borderId="7" xfId="6" applyFont="1" applyFill="1" applyBorder="1" applyAlignment="1">
      <alignment vertical="center"/>
    </xf>
    <xf numFmtId="0" fontId="35" fillId="0" borderId="8" xfId="5" applyFont="1" applyFill="1" applyBorder="1" applyAlignment="1">
      <alignment vertical="center"/>
    </xf>
    <xf numFmtId="0" fontId="35" fillId="0" borderId="9" xfId="5" applyFont="1" applyFill="1" applyBorder="1" applyAlignment="1">
      <alignment vertical="center"/>
    </xf>
    <xf numFmtId="0" fontId="35" fillId="0" borderId="10" xfId="5" applyFont="1" applyFill="1" applyBorder="1" applyAlignment="1">
      <alignment vertical="center"/>
    </xf>
    <xf numFmtId="0" fontId="35" fillId="0" borderId="11" xfId="6" applyFont="1" applyFill="1" applyBorder="1" applyAlignment="1">
      <alignment vertical="center"/>
    </xf>
    <xf numFmtId="0" fontId="35" fillId="0" borderId="12" xfId="6" applyFont="1" applyFill="1" applyBorder="1" applyAlignment="1">
      <alignment horizontal="center" vertical="center"/>
    </xf>
    <xf numFmtId="0" fontId="35" fillId="0" borderId="12" xfId="5" applyFont="1" applyFill="1" applyBorder="1" applyAlignment="1">
      <alignment horizontal="center" vertical="center"/>
    </xf>
    <xf numFmtId="170" fontId="36" fillId="0" borderId="0" xfId="0" applyNumberFormat="1" applyFont="1" applyAlignment="1">
      <alignment vertical="center" wrapText="1"/>
    </xf>
    <xf numFmtId="0" fontId="35" fillId="0" borderId="11" xfId="6" applyFont="1" applyFill="1" applyBorder="1" applyAlignment="1">
      <alignment horizontal="center" vertical="center"/>
    </xf>
    <xf numFmtId="0" fontId="37" fillId="0" borderId="12" xfId="6" applyFont="1" applyFill="1" applyBorder="1" applyAlignment="1">
      <alignment horizontal="center" vertical="center"/>
    </xf>
    <xf numFmtId="172" fontId="38" fillId="0" borderId="12" xfId="7" applyNumberFormat="1" applyFont="1" applyFill="1" applyBorder="1" applyAlignment="1">
      <alignment horizontal="center" vertical="center"/>
    </xf>
    <xf numFmtId="3" fontId="39" fillId="0" borderId="12" xfId="7" applyNumberFormat="1" applyFont="1" applyFill="1" applyBorder="1" applyAlignment="1">
      <alignment horizontal="right" vertical="center"/>
    </xf>
    <xf numFmtId="0" fontId="38" fillId="0" borderId="12" xfId="7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3" fontId="38" fillId="0" borderId="12" xfId="7" applyNumberFormat="1" applyFont="1" applyBorder="1" applyAlignment="1">
      <alignment horizontal="center" vertical="center"/>
    </xf>
    <xf numFmtId="0" fontId="35" fillId="3" borderId="11" xfId="6" applyFont="1" applyFill="1" applyBorder="1" applyAlignment="1">
      <alignment horizontal="center" vertical="center"/>
    </xf>
    <xf numFmtId="3" fontId="38" fillId="0" borderId="12" xfId="7" applyNumberFormat="1" applyFont="1" applyFill="1" applyBorder="1" applyAlignment="1">
      <alignment horizontal="center" vertical="center"/>
    </xf>
    <xf numFmtId="0" fontId="6" fillId="0" borderId="0" xfId="2" applyFont="1" applyBorder="1"/>
    <xf numFmtId="4" fontId="10" fillId="0" borderId="0" xfId="2" applyNumberFormat="1" applyFont="1" applyBorder="1"/>
    <xf numFmtId="3" fontId="6" fillId="0" borderId="0" xfId="2" applyNumberFormat="1" applyFont="1" applyBorder="1"/>
    <xf numFmtId="0" fontId="6" fillId="0" borderId="3" xfId="2" applyFont="1" applyBorder="1"/>
    <xf numFmtId="0" fontId="6" fillId="0" borderId="3" xfId="2" applyFont="1" applyBorder="1" applyAlignment="1">
      <alignment horizontal="left" indent="1"/>
    </xf>
    <xf numFmtId="167" fontId="19" fillId="0" borderId="0" xfId="0" applyNumberFormat="1" applyFont="1"/>
    <xf numFmtId="167" fontId="16" fillId="0" borderId="0" xfId="0" applyNumberFormat="1" applyFont="1" applyFill="1"/>
    <xf numFmtId="167" fontId="15" fillId="0" borderId="0" xfId="0" applyNumberFormat="1" applyFont="1" applyFill="1"/>
    <xf numFmtId="167" fontId="8" fillId="0" borderId="4" xfId="0" applyNumberFormat="1" applyFont="1" applyFill="1" applyBorder="1"/>
    <xf numFmtId="0" fontId="35" fillId="3" borderId="7" xfId="6" applyFont="1" applyFill="1" applyBorder="1" applyAlignment="1">
      <alignment horizontal="center" vertical="center" wrapText="1"/>
    </xf>
    <xf numFmtId="0" fontId="35" fillId="3" borderId="11" xfId="6" applyFont="1" applyFill="1" applyBorder="1" applyAlignment="1">
      <alignment horizontal="center" vertical="center" wrapText="1"/>
    </xf>
    <xf numFmtId="0" fontId="35" fillId="3" borderId="7" xfId="5" applyFont="1" applyFill="1" applyBorder="1" applyAlignment="1">
      <alignment horizontal="center" vertical="center" wrapText="1"/>
    </xf>
    <xf numFmtId="0" fontId="35" fillId="3" borderId="11" xfId="5" applyFont="1" applyFill="1" applyBorder="1" applyAlignment="1">
      <alignment horizontal="center" vertical="center" wrapText="1"/>
    </xf>
    <xf numFmtId="0" fontId="35" fillId="3" borderId="8" xfId="5" applyFont="1" applyFill="1" applyBorder="1" applyAlignment="1">
      <alignment horizontal="center" vertical="center" wrapText="1"/>
    </xf>
    <xf numFmtId="0" fontId="35" fillId="3" borderId="9" xfId="5" applyFont="1" applyFill="1" applyBorder="1" applyAlignment="1">
      <alignment horizontal="center" vertical="center" wrapText="1"/>
    </xf>
    <xf numFmtId="0" fontId="35" fillId="3" borderId="10" xfId="5" applyFont="1" applyFill="1" applyBorder="1" applyAlignment="1">
      <alignment horizontal="center" vertical="center" wrapText="1"/>
    </xf>
    <xf numFmtId="3" fontId="35" fillId="3" borderId="8" xfId="6" applyNumberFormat="1" applyFont="1" applyFill="1" applyBorder="1" applyAlignment="1">
      <alignment horizontal="center" vertical="center" wrapText="1"/>
    </xf>
    <xf numFmtId="3" fontId="35" fillId="3" borderId="9" xfId="6" applyNumberFormat="1" applyFont="1" applyFill="1" applyBorder="1" applyAlignment="1">
      <alignment horizontal="center" vertical="center" wrapText="1"/>
    </xf>
    <xf numFmtId="3" fontId="35" fillId="3" borderId="10" xfId="6" applyNumberFormat="1" applyFont="1" applyFill="1" applyBorder="1" applyAlignment="1">
      <alignment horizontal="center" vertical="center" wrapText="1"/>
    </xf>
    <xf numFmtId="0" fontId="35" fillId="3" borderId="8" xfId="5" applyFont="1" applyFill="1" applyBorder="1" applyAlignment="1">
      <alignment horizontal="center" vertical="center"/>
    </xf>
    <xf numFmtId="0" fontId="35" fillId="3" borderId="9" xfId="5" applyFont="1" applyFill="1" applyBorder="1" applyAlignment="1">
      <alignment horizontal="center" vertical="center"/>
    </xf>
    <xf numFmtId="0" fontId="35" fillId="3" borderId="10" xfId="5" applyFont="1" applyFill="1" applyBorder="1" applyAlignment="1">
      <alignment horizontal="center" vertical="center"/>
    </xf>
  </cellXfs>
  <cellStyles count="13">
    <cellStyle name="Comma 2" xfId="11" xr:uid="{03A2548B-7BF7-4CB3-A6E5-B7EBED45ABD6}"/>
    <cellStyle name="Comma 6 2" xfId="8" xr:uid="{DAA23223-DC0F-49E8-862F-12BDEF3EB622}"/>
    <cellStyle name="Normal 2" xfId="4" xr:uid="{FEF32F40-A197-4909-ABE4-64BD5A2704D2}"/>
    <cellStyle name="Normal 5" xfId="6" xr:uid="{6181AAE9-80E6-4A0E-8692-1FA2075F0A72}"/>
    <cellStyle name="Normal 7" xfId="5" xr:uid="{57AE17CA-9356-401A-8F62-50C613263EF9}"/>
    <cellStyle name="Normal 7 2" xfId="9" xr:uid="{FC1E83FB-B319-4206-8EB4-900FE1DA8107}"/>
    <cellStyle name="Гиперссылка" xfId="1" builtinId="8"/>
    <cellStyle name="Обычный" xfId="0" builtinId="0"/>
    <cellStyle name="Обычный 15" xfId="10" xr:uid="{38CAB6B2-C467-462D-9836-42C3E888C722}"/>
    <cellStyle name="Обычный 157" xfId="3" xr:uid="{854B22F1-43DE-4456-B6E9-318655237C27}"/>
    <cellStyle name="Обычный 2" xfId="2" xr:uid="{730016FE-BC5E-4CB5-84B9-438169B02112}"/>
    <cellStyle name="Обычный 2 2" xfId="7" xr:uid="{7C18B081-6BF1-452E-B996-6C8F9C9CD7AC}"/>
    <cellStyle name="Процентный" xfId="1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0.xml"/><Relationship Id="rId21" Type="http://schemas.openxmlformats.org/officeDocument/2006/relationships/externalLink" Target="externalLinks/externalLink14.xml"/><Relationship Id="rId42" Type="http://schemas.openxmlformats.org/officeDocument/2006/relationships/externalLink" Target="externalLinks/externalLink35.xml"/><Relationship Id="rId63" Type="http://schemas.openxmlformats.org/officeDocument/2006/relationships/externalLink" Target="externalLinks/externalLink56.xml"/><Relationship Id="rId84" Type="http://schemas.openxmlformats.org/officeDocument/2006/relationships/externalLink" Target="externalLinks/externalLink77.xml"/><Relationship Id="rId138" Type="http://schemas.openxmlformats.org/officeDocument/2006/relationships/externalLink" Target="externalLinks/externalLink131.xml"/><Relationship Id="rId159" Type="http://schemas.openxmlformats.org/officeDocument/2006/relationships/externalLink" Target="externalLinks/externalLink152.xml"/><Relationship Id="rId170" Type="http://schemas.openxmlformats.org/officeDocument/2006/relationships/externalLink" Target="externalLinks/externalLink163.xml"/><Relationship Id="rId191" Type="http://schemas.openxmlformats.org/officeDocument/2006/relationships/externalLink" Target="externalLinks/externalLink184.xml"/><Relationship Id="rId107" Type="http://schemas.openxmlformats.org/officeDocument/2006/relationships/externalLink" Target="externalLinks/externalLink100.xml"/><Relationship Id="rId11" Type="http://schemas.openxmlformats.org/officeDocument/2006/relationships/externalLink" Target="externalLinks/externalLink4.xml"/><Relationship Id="rId32" Type="http://schemas.openxmlformats.org/officeDocument/2006/relationships/externalLink" Target="externalLinks/externalLink25.xml"/><Relationship Id="rId53" Type="http://schemas.openxmlformats.org/officeDocument/2006/relationships/externalLink" Target="externalLinks/externalLink46.xml"/><Relationship Id="rId74" Type="http://schemas.openxmlformats.org/officeDocument/2006/relationships/externalLink" Target="externalLinks/externalLink67.xml"/><Relationship Id="rId128" Type="http://schemas.openxmlformats.org/officeDocument/2006/relationships/externalLink" Target="externalLinks/externalLink121.xml"/><Relationship Id="rId149" Type="http://schemas.openxmlformats.org/officeDocument/2006/relationships/externalLink" Target="externalLinks/externalLink142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88.xml"/><Relationship Id="rId160" Type="http://schemas.openxmlformats.org/officeDocument/2006/relationships/externalLink" Target="externalLinks/externalLink153.xml"/><Relationship Id="rId181" Type="http://schemas.openxmlformats.org/officeDocument/2006/relationships/externalLink" Target="externalLinks/externalLink174.xml"/><Relationship Id="rId22" Type="http://schemas.openxmlformats.org/officeDocument/2006/relationships/externalLink" Target="externalLinks/externalLink15.xml"/><Relationship Id="rId43" Type="http://schemas.openxmlformats.org/officeDocument/2006/relationships/externalLink" Target="externalLinks/externalLink36.xml"/><Relationship Id="rId64" Type="http://schemas.openxmlformats.org/officeDocument/2006/relationships/externalLink" Target="externalLinks/externalLink57.xml"/><Relationship Id="rId118" Type="http://schemas.openxmlformats.org/officeDocument/2006/relationships/externalLink" Target="externalLinks/externalLink111.xml"/><Relationship Id="rId139" Type="http://schemas.openxmlformats.org/officeDocument/2006/relationships/externalLink" Target="externalLinks/externalLink132.xml"/><Relationship Id="rId85" Type="http://schemas.openxmlformats.org/officeDocument/2006/relationships/externalLink" Target="externalLinks/externalLink78.xml"/><Relationship Id="rId150" Type="http://schemas.openxmlformats.org/officeDocument/2006/relationships/externalLink" Target="externalLinks/externalLink143.xml"/><Relationship Id="rId171" Type="http://schemas.openxmlformats.org/officeDocument/2006/relationships/externalLink" Target="externalLinks/externalLink164.xml"/><Relationship Id="rId192" Type="http://schemas.openxmlformats.org/officeDocument/2006/relationships/externalLink" Target="externalLinks/externalLink185.xml"/><Relationship Id="rId12" Type="http://schemas.openxmlformats.org/officeDocument/2006/relationships/externalLink" Target="externalLinks/externalLink5.xml"/><Relationship Id="rId33" Type="http://schemas.openxmlformats.org/officeDocument/2006/relationships/externalLink" Target="externalLinks/externalLink26.xml"/><Relationship Id="rId108" Type="http://schemas.openxmlformats.org/officeDocument/2006/relationships/externalLink" Target="externalLinks/externalLink101.xml"/><Relationship Id="rId129" Type="http://schemas.openxmlformats.org/officeDocument/2006/relationships/externalLink" Target="externalLinks/externalLink122.xml"/><Relationship Id="rId54" Type="http://schemas.openxmlformats.org/officeDocument/2006/relationships/externalLink" Target="externalLinks/externalLink47.xml"/><Relationship Id="rId75" Type="http://schemas.openxmlformats.org/officeDocument/2006/relationships/externalLink" Target="externalLinks/externalLink68.xml"/><Relationship Id="rId96" Type="http://schemas.openxmlformats.org/officeDocument/2006/relationships/externalLink" Target="externalLinks/externalLink89.xml"/><Relationship Id="rId140" Type="http://schemas.openxmlformats.org/officeDocument/2006/relationships/externalLink" Target="externalLinks/externalLink133.xml"/><Relationship Id="rId161" Type="http://schemas.openxmlformats.org/officeDocument/2006/relationships/externalLink" Target="externalLinks/externalLink154.xml"/><Relationship Id="rId182" Type="http://schemas.openxmlformats.org/officeDocument/2006/relationships/externalLink" Target="externalLinks/externalLink175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16.xml"/><Relationship Id="rId119" Type="http://schemas.openxmlformats.org/officeDocument/2006/relationships/externalLink" Target="externalLinks/externalLink112.xml"/><Relationship Id="rId44" Type="http://schemas.openxmlformats.org/officeDocument/2006/relationships/externalLink" Target="externalLinks/externalLink37.xml"/><Relationship Id="rId65" Type="http://schemas.openxmlformats.org/officeDocument/2006/relationships/externalLink" Target="externalLinks/externalLink58.xml"/><Relationship Id="rId86" Type="http://schemas.openxmlformats.org/officeDocument/2006/relationships/externalLink" Target="externalLinks/externalLink79.xml"/><Relationship Id="rId130" Type="http://schemas.openxmlformats.org/officeDocument/2006/relationships/externalLink" Target="externalLinks/externalLink123.xml"/><Relationship Id="rId151" Type="http://schemas.openxmlformats.org/officeDocument/2006/relationships/externalLink" Target="externalLinks/externalLink144.xml"/><Relationship Id="rId172" Type="http://schemas.openxmlformats.org/officeDocument/2006/relationships/externalLink" Target="externalLinks/externalLink165.xml"/><Relationship Id="rId193" Type="http://schemas.openxmlformats.org/officeDocument/2006/relationships/externalLink" Target="externalLinks/externalLink186.xml"/><Relationship Id="rId13" Type="http://schemas.openxmlformats.org/officeDocument/2006/relationships/externalLink" Target="externalLinks/externalLink6.xml"/><Relationship Id="rId109" Type="http://schemas.openxmlformats.org/officeDocument/2006/relationships/externalLink" Target="externalLinks/externalLink102.xml"/><Relationship Id="rId34" Type="http://schemas.openxmlformats.org/officeDocument/2006/relationships/externalLink" Target="externalLinks/externalLink27.xml"/><Relationship Id="rId55" Type="http://schemas.openxmlformats.org/officeDocument/2006/relationships/externalLink" Target="externalLinks/externalLink48.xml"/><Relationship Id="rId76" Type="http://schemas.openxmlformats.org/officeDocument/2006/relationships/externalLink" Target="externalLinks/externalLink69.xml"/><Relationship Id="rId97" Type="http://schemas.openxmlformats.org/officeDocument/2006/relationships/externalLink" Target="externalLinks/externalLink90.xml"/><Relationship Id="rId120" Type="http://schemas.openxmlformats.org/officeDocument/2006/relationships/externalLink" Target="externalLinks/externalLink113.xml"/><Relationship Id="rId141" Type="http://schemas.openxmlformats.org/officeDocument/2006/relationships/externalLink" Target="externalLinks/externalLink134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4.xml"/><Relationship Id="rId92" Type="http://schemas.openxmlformats.org/officeDocument/2006/relationships/externalLink" Target="externalLinks/externalLink85.xml"/><Relationship Id="rId162" Type="http://schemas.openxmlformats.org/officeDocument/2006/relationships/externalLink" Target="externalLinks/externalLink155.xml"/><Relationship Id="rId183" Type="http://schemas.openxmlformats.org/officeDocument/2006/relationships/externalLink" Target="externalLinks/externalLink176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2.xml"/><Relationship Id="rId24" Type="http://schemas.openxmlformats.org/officeDocument/2006/relationships/externalLink" Target="externalLinks/externalLink17.xml"/><Relationship Id="rId40" Type="http://schemas.openxmlformats.org/officeDocument/2006/relationships/externalLink" Target="externalLinks/externalLink33.xml"/><Relationship Id="rId45" Type="http://schemas.openxmlformats.org/officeDocument/2006/relationships/externalLink" Target="externalLinks/externalLink38.xml"/><Relationship Id="rId66" Type="http://schemas.openxmlformats.org/officeDocument/2006/relationships/externalLink" Target="externalLinks/externalLink59.xml"/><Relationship Id="rId87" Type="http://schemas.openxmlformats.org/officeDocument/2006/relationships/externalLink" Target="externalLinks/externalLink80.xml"/><Relationship Id="rId110" Type="http://schemas.openxmlformats.org/officeDocument/2006/relationships/externalLink" Target="externalLinks/externalLink103.xml"/><Relationship Id="rId115" Type="http://schemas.openxmlformats.org/officeDocument/2006/relationships/externalLink" Target="externalLinks/externalLink108.xml"/><Relationship Id="rId131" Type="http://schemas.openxmlformats.org/officeDocument/2006/relationships/externalLink" Target="externalLinks/externalLink124.xml"/><Relationship Id="rId136" Type="http://schemas.openxmlformats.org/officeDocument/2006/relationships/externalLink" Target="externalLinks/externalLink129.xml"/><Relationship Id="rId157" Type="http://schemas.openxmlformats.org/officeDocument/2006/relationships/externalLink" Target="externalLinks/externalLink150.xml"/><Relationship Id="rId178" Type="http://schemas.openxmlformats.org/officeDocument/2006/relationships/externalLink" Target="externalLinks/externalLink171.xml"/><Relationship Id="rId61" Type="http://schemas.openxmlformats.org/officeDocument/2006/relationships/externalLink" Target="externalLinks/externalLink54.xml"/><Relationship Id="rId82" Type="http://schemas.openxmlformats.org/officeDocument/2006/relationships/externalLink" Target="externalLinks/externalLink75.xml"/><Relationship Id="rId152" Type="http://schemas.openxmlformats.org/officeDocument/2006/relationships/externalLink" Target="externalLinks/externalLink145.xml"/><Relationship Id="rId173" Type="http://schemas.openxmlformats.org/officeDocument/2006/relationships/externalLink" Target="externalLinks/externalLink166.xml"/><Relationship Id="rId194" Type="http://schemas.openxmlformats.org/officeDocument/2006/relationships/externalLink" Target="externalLinks/externalLink187.xml"/><Relationship Id="rId199" Type="http://schemas.openxmlformats.org/officeDocument/2006/relationships/calcChain" Target="calcChain.xml"/><Relationship Id="rId19" Type="http://schemas.openxmlformats.org/officeDocument/2006/relationships/externalLink" Target="externalLinks/externalLink12.xml"/><Relationship Id="rId14" Type="http://schemas.openxmlformats.org/officeDocument/2006/relationships/externalLink" Target="externalLinks/externalLink7.xml"/><Relationship Id="rId30" Type="http://schemas.openxmlformats.org/officeDocument/2006/relationships/externalLink" Target="externalLinks/externalLink23.xml"/><Relationship Id="rId35" Type="http://schemas.openxmlformats.org/officeDocument/2006/relationships/externalLink" Target="externalLinks/externalLink28.xml"/><Relationship Id="rId56" Type="http://schemas.openxmlformats.org/officeDocument/2006/relationships/externalLink" Target="externalLinks/externalLink49.xml"/><Relationship Id="rId77" Type="http://schemas.openxmlformats.org/officeDocument/2006/relationships/externalLink" Target="externalLinks/externalLink70.xml"/><Relationship Id="rId100" Type="http://schemas.openxmlformats.org/officeDocument/2006/relationships/externalLink" Target="externalLinks/externalLink93.xml"/><Relationship Id="rId105" Type="http://schemas.openxmlformats.org/officeDocument/2006/relationships/externalLink" Target="externalLinks/externalLink98.xml"/><Relationship Id="rId126" Type="http://schemas.openxmlformats.org/officeDocument/2006/relationships/externalLink" Target="externalLinks/externalLink119.xml"/><Relationship Id="rId147" Type="http://schemas.openxmlformats.org/officeDocument/2006/relationships/externalLink" Target="externalLinks/externalLink140.xml"/><Relationship Id="rId168" Type="http://schemas.openxmlformats.org/officeDocument/2006/relationships/externalLink" Target="externalLinks/externalLink161.xml"/><Relationship Id="rId8" Type="http://schemas.openxmlformats.org/officeDocument/2006/relationships/externalLink" Target="externalLinks/externalLink1.xml"/><Relationship Id="rId51" Type="http://schemas.openxmlformats.org/officeDocument/2006/relationships/externalLink" Target="externalLinks/externalLink44.xml"/><Relationship Id="rId72" Type="http://schemas.openxmlformats.org/officeDocument/2006/relationships/externalLink" Target="externalLinks/externalLink65.xml"/><Relationship Id="rId93" Type="http://schemas.openxmlformats.org/officeDocument/2006/relationships/externalLink" Target="externalLinks/externalLink86.xml"/><Relationship Id="rId98" Type="http://schemas.openxmlformats.org/officeDocument/2006/relationships/externalLink" Target="externalLinks/externalLink91.xml"/><Relationship Id="rId121" Type="http://schemas.openxmlformats.org/officeDocument/2006/relationships/externalLink" Target="externalLinks/externalLink114.xml"/><Relationship Id="rId142" Type="http://schemas.openxmlformats.org/officeDocument/2006/relationships/externalLink" Target="externalLinks/externalLink135.xml"/><Relationship Id="rId163" Type="http://schemas.openxmlformats.org/officeDocument/2006/relationships/externalLink" Target="externalLinks/externalLink156.xml"/><Relationship Id="rId184" Type="http://schemas.openxmlformats.org/officeDocument/2006/relationships/externalLink" Target="externalLinks/externalLink177.xml"/><Relationship Id="rId189" Type="http://schemas.openxmlformats.org/officeDocument/2006/relationships/externalLink" Target="externalLinks/externalLink182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8.xml"/><Relationship Id="rId46" Type="http://schemas.openxmlformats.org/officeDocument/2006/relationships/externalLink" Target="externalLinks/externalLink39.xml"/><Relationship Id="rId67" Type="http://schemas.openxmlformats.org/officeDocument/2006/relationships/externalLink" Target="externalLinks/externalLink60.xml"/><Relationship Id="rId116" Type="http://schemas.openxmlformats.org/officeDocument/2006/relationships/externalLink" Target="externalLinks/externalLink109.xml"/><Relationship Id="rId137" Type="http://schemas.openxmlformats.org/officeDocument/2006/relationships/externalLink" Target="externalLinks/externalLink130.xml"/><Relationship Id="rId158" Type="http://schemas.openxmlformats.org/officeDocument/2006/relationships/externalLink" Target="externalLinks/externalLink151.xml"/><Relationship Id="rId20" Type="http://schemas.openxmlformats.org/officeDocument/2006/relationships/externalLink" Target="externalLinks/externalLink13.xml"/><Relationship Id="rId41" Type="http://schemas.openxmlformats.org/officeDocument/2006/relationships/externalLink" Target="externalLinks/externalLink34.xml"/><Relationship Id="rId62" Type="http://schemas.openxmlformats.org/officeDocument/2006/relationships/externalLink" Target="externalLinks/externalLink55.xml"/><Relationship Id="rId83" Type="http://schemas.openxmlformats.org/officeDocument/2006/relationships/externalLink" Target="externalLinks/externalLink76.xml"/><Relationship Id="rId88" Type="http://schemas.openxmlformats.org/officeDocument/2006/relationships/externalLink" Target="externalLinks/externalLink81.xml"/><Relationship Id="rId111" Type="http://schemas.openxmlformats.org/officeDocument/2006/relationships/externalLink" Target="externalLinks/externalLink104.xml"/><Relationship Id="rId132" Type="http://schemas.openxmlformats.org/officeDocument/2006/relationships/externalLink" Target="externalLinks/externalLink125.xml"/><Relationship Id="rId153" Type="http://schemas.openxmlformats.org/officeDocument/2006/relationships/externalLink" Target="externalLinks/externalLink146.xml"/><Relationship Id="rId174" Type="http://schemas.openxmlformats.org/officeDocument/2006/relationships/externalLink" Target="externalLinks/externalLink167.xml"/><Relationship Id="rId179" Type="http://schemas.openxmlformats.org/officeDocument/2006/relationships/externalLink" Target="externalLinks/externalLink172.xml"/><Relationship Id="rId195" Type="http://schemas.openxmlformats.org/officeDocument/2006/relationships/externalLink" Target="externalLinks/externalLink188.xml"/><Relationship Id="rId190" Type="http://schemas.openxmlformats.org/officeDocument/2006/relationships/externalLink" Target="externalLinks/externalLink183.xml"/><Relationship Id="rId15" Type="http://schemas.openxmlformats.org/officeDocument/2006/relationships/externalLink" Target="externalLinks/externalLink8.xml"/><Relationship Id="rId36" Type="http://schemas.openxmlformats.org/officeDocument/2006/relationships/externalLink" Target="externalLinks/externalLink29.xml"/><Relationship Id="rId57" Type="http://schemas.openxmlformats.org/officeDocument/2006/relationships/externalLink" Target="externalLinks/externalLink50.xml"/><Relationship Id="rId106" Type="http://schemas.openxmlformats.org/officeDocument/2006/relationships/externalLink" Target="externalLinks/externalLink99.xml"/><Relationship Id="rId127" Type="http://schemas.openxmlformats.org/officeDocument/2006/relationships/externalLink" Target="externalLinks/externalLink120.xml"/><Relationship Id="rId10" Type="http://schemas.openxmlformats.org/officeDocument/2006/relationships/externalLink" Target="externalLinks/externalLink3.xml"/><Relationship Id="rId31" Type="http://schemas.openxmlformats.org/officeDocument/2006/relationships/externalLink" Target="externalLinks/externalLink24.xml"/><Relationship Id="rId52" Type="http://schemas.openxmlformats.org/officeDocument/2006/relationships/externalLink" Target="externalLinks/externalLink45.xml"/><Relationship Id="rId73" Type="http://schemas.openxmlformats.org/officeDocument/2006/relationships/externalLink" Target="externalLinks/externalLink66.xml"/><Relationship Id="rId78" Type="http://schemas.openxmlformats.org/officeDocument/2006/relationships/externalLink" Target="externalLinks/externalLink71.xml"/><Relationship Id="rId94" Type="http://schemas.openxmlformats.org/officeDocument/2006/relationships/externalLink" Target="externalLinks/externalLink87.xml"/><Relationship Id="rId99" Type="http://schemas.openxmlformats.org/officeDocument/2006/relationships/externalLink" Target="externalLinks/externalLink92.xml"/><Relationship Id="rId101" Type="http://schemas.openxmlformats.org/officeDocument/2006/relationships/externalLink" Target="externalLinks/externalLink94.xml"/><Relationship Id="rId122" Type="http://schemas.openxmlformats.org/officeDocument/2006/relationships/externalLink" Target="externalLinks/externalLink115.xml"/><Relationship Id="rId143" Type="http://schemas.openxmlformats.org/officeDocument/2006/relationships/externalLink" Target="externalLinks/externalLink136.xml"/><Relationship Id="rId148" Type="http://schemas.openxmlformats.org/officeDocument/2006/relationships/externalLink" Target="externalLinks/externalLink141.xml"/><Relationship Id="rId164" Type="http://schemas.openxmlformats.org/officeDocument/2006/relationships/externalLink" Target="externalLinks/externalLink157.xml"/><Relationship Id="rId169" Type="http://schemas.openxmlformats.org/officeDocument/2006/relationships/externalLink" Target="externalLinks/externalLink162.xml"/><Relationship Id="rId185" Type="http://schemas.openxmlformats.org/officeDocument/2006/relationships/externalLink" Target="externalLinks/externalLink178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80" Type="http://schemas.openxmlformats.org/officeDocument/2006/relationships/externalLink" Target="externalLinks/externalLink173.xml"/><Relationship Id="rId26" Type="http://schemas.openxmlformats.org/officeDocument/2006/relationships/externalLink" Target="externalLinks/externalLink19.xml"/><Relationship Id="rId47" Type="http://schemas.openxmlformats.org/officeDocument/2006/relationships/externalLink" Target="externalLinks/externalLink40.xml"/><Relationship Id="rId68" Type="http://schemas.openxmlformats.org/officeDocument/2006/relationships/externalLink" Target="externalLinks/externalLink61.xml"/><Relationship Id="rId89" Type="http://schemas.openxmlformats.org/officeDocument/2006/relationships/externalLink" Target="externalLinks/externalLink82.xml"/><Relationship Id="rId112" Type="http://schemas.openxmlformats.org/officeDocument/2006/relationships/externalLink" Target="externalLinks/externalLink105.xml"/><Relationship Id="rId133" Type="http://schemas.openxmlformats.org/officeDocument/2006/relationships/externalLink" Target="externalLinks/externalLink126.xml"/><Relationship Id="rId154" Type="http://schemas.openxmlformats.org/officeDocument/2006/relationships/externalLink" Target="externalLinks/externalLink147.xml"/><Relationship Id="rId175" Type="http://schemas.openxmlformats.org/officeDocument/2006/relationships/externalLink" Target="externalLinks/externalLink168.xml"/><Relationship Id="rId196" Type="http://schemas.openxmlformats.org/officeDocument/2006/relationships/theme" Target="theme/theme1.xml"/><Relationship Id="rId16" Type="http://schemas.openxmlformats.org/officeDocument/2006/relationships/externalLink" Target="externalLinks/externalLink9.xml"/><Relationship Id="rId37" Type="http://schemas.openxmlformats.org/officeDocument/2006/relationships/externalLink" Target="externalLinks/externalLink30.xml"/><Relationship Id="rId58" Type="http://schemas.openxmlformats.org/officeDocument/2006/relationships/externalLink" Target="externalLinks/externalLink51.xml"/><Relationship Id="rId79" Type="http://schemas.openxmlformats.org/officeDocument/2006/relationships/externalLink" Target="externalLinks/externalLink72.xml"/><Relationship Id="rId102" Type="http://schemas.openxmlformats.org/officeDocument/2006/relationships/externalLink" Target="externalLinks/externalLink95.xml"/><Relationship Id="rId123" Type="http://schemas.openxmlformats.org/officeDocument/2006/relationships/externalLink" Target="externalLinks/externalLink116.xml"/><Relationship Id="rId144" Type="http://schemas.openxmlformats.org/officeDocument/2006/relationships/externalLink" Target="externalLinks/externalLink137.xml"/><Relationship Id="rId90" Type="http://schemas.openxmlformats.org/officeDocument/2006/relationships/externalLink" Target="externalLinks/externalLink83.xml"/><Relationship Id="rId165" Type="http://schemas.openxmlformats.org/officeDocument/2006/relationships/externalLink" Target="externalLinks/externalLink158.xml"/><Relationship Id="rId186" Type="http://schemas.openxmlformats.org/officeDocument/2006/relationships/externalLink" Target="externalLinks/externalLink179.xml"/><Relationship Id="rId27" Type="http://schemas.openxmlformats.org/officeDocument/2006/relationships/externalLink" Target="externalLinks/externalLink20.xml"/><Relationship Id="rId48" Type="http://schemas.openxmlformats.org/officeDocument/2006/relationships/externalLink" Target="externalLinks/externalLink41.xml"/><Relationship Id="rId69" Type="http://schemas.openxmlformats.org/officeDocument/2006/relationships/externalLink" Target="externalLinks/externalLink62.xml"/><Relationship Id="rId113" Type="http://schemas.openxmlformats.org/officeDocument/2006/relationships/externalLink" Target="externalLinks/externalLink106.xml"/><Relationship Id="rId134" Type="http://schemas.openxmlformats.org/officeDocument/2006/relationships/externalLink" Target="externalLinks/externalLink127.xml"/><Relationship Id="rId80" Type="http://schemas.openxmlformats.org/officeDocument/2006/relationships/externalLink" Target="externalLinks/externalLink73.xml"/><Relationship Id="rId155" Type="http://schemas.openxmlformats.org/officeDocument/2006/relationships/externalLink" Target="externalLinks/externalLink148.xml"/><Relationship Id="rId176" Type="http://schemas.openxmlformats.org/officeDocument/2006/relationships/externalLink" Target="externalLinks/externalLink169.xml"/><Relationship Id="rId197" Type="http://schemas.openxmlformats.org/officeDocument/2006/relationships/styles" Target="styles.xml"/><Relationship Id="rId17" Type="http://schemas.openxmlformats.org/officeDocument/2006/relationships/externalLink" Target="externalLinks/externalLink10.xml"/><Relationship Id="rId38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52.xml"/><Relationship Id="rId103" Type="http://schemas.openxmlformats.org/officeDocument/2006/relationships/externalLink" Target="externalLinks/externalLink96.xml"/><Relationship Id="rId124" Type="http://schemas.openxmlformats.org/officeDocument/2006/relationships/externalLink" Target="externalLinks/externalLink117.xml"/><Relationship Id="rId70" Type="http://schemas.openxmlformats.org/officeDocument/2006/relationships/externalLink" Target="externalLinks/externalLink63.xml"/><Relationship Id="rId91" Type="http://schemas.openxmlformats.org/officeDocument/2006/relationships/externalLink" Target="externalLinks/externalLink84.xml"/><Relationship Id="rId145" Type="http://schemas.openxmlformats.org/officeDocument/2006/relationships/externalLink" Target="externalLinks/externalLink138.xml"/><Relationship Id="rId166" Type="http://schemas.openxmlformats.org/officeDocument/2006/relationships/externalLink" Target="externalLinks/externalLink159.xml"/><Relationship Id="rId187" Type="http://schemas.openxmlformats.org/officeDocument/2006/relationships/externalLink" Target="externalLinks/externalLink180.xml"/><Relationship Id="rId1" Type="http://schemas.openxmlformats.org/officeDocument/2006/relationships/worksheet" Target="worksheets/sheet1.xml"/><Relationship Id="rId28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42.xml"/><Relationship Id="rId114" Type="http://schemas.openxmlformats.org/officeDocument/2006/relationships/externalLink" Target="externalLinks/externalLink107.xml"/><Relationship Id="rId60" Type="http://schemas.openxmlformats.org/officeDocument/2006/relationships/externalLink" Target="externalLinks/externalLink53.xml"/><Relationship Id="rId81" Type="http://schemas.openxmlformats.org/officeDocument/2006/relationships/externalLink" Target="externalLinks/externalLink74.xml"/><Relationship Id="rId135" Type="http://schemas.openxmlformats.org/officeDocument/2006/relationships/externalLink" Target="externalLinks/externalLink128.xml"/><Relationship Id="rId156" Type="http://schemas.openxmlformats.org/officeDocument/2006/relationships/externalLink" Target="externalLinks/externalLink149.xml"/><Relationship Id="rId177" Type="http://schemas.openxmlformats.org/officeDocument/2006/relationships/externalLink" Target="externalLinks/externalLink170.xml"/><Relationship Id="rId198" Type="http://schemas.openxmlformats.org/officeDocument/2006/relationships/sharedStrings" Target="sharedStrings.xml"/><Relationship Id="rId18" Type="http://schemas.openxmlformats.org/officeDocument/2006/relationships/externalLink" Target="externalLinks/externalLink11.xml"/><Relationship Id="rId39" Type="http://schemas.openxmlformats.org/officeDocument/2006/relationships/externalLink" Target="externalLinks/externalLink32.xml"/><Relationship Id="rId50" Type="http://schemas.openxmlformats.org/officeDocument/2006/relationships/externalLink" Target="externalLinks/externalLink43.xml"/><Relationship Id="rId104" Type="http://schemas.openxmlformats.org/officeDocument/2006/relationships/externalLink" Target="externalLinks/externalLink97.xml"/><Relationship Id="rId125" Type="http://schemas.openxmlformats.org/officeDocument/2006/relationships/externalLink" Target="externalLinks/externalLink118.xml"/><Relationship Id="rId146" Type="http://schemas.openxmlformats.org/officeDocument/2006/relationships/externalLink" Target="externalLinks/externalLink139.xml"/><Relationship Id="rId167" Type="http://schemas.openxmlformats.org/officeDocument/2006/relationships/externalLink" Target="externalLinks/externalLink160.xml"/><Relationship Id="rId188" Type="http://schemas.openxmlformats.org/officeDocument/2006/relationships/externalLink" Target="externalLinks/externalLink18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407670</xdr:colOff>
      <xdr:row>2</xdr:row>
      <xdr:rowOff>87396</xdr:rowOff>
    </xdr:from>
    <xdr:to>
      <xdr:col>1</xdr:col>
      <xdr:colOff>2457450</xdr:colOff>
      <xdr:row>7</xdr:row>
      <xdr:rowOff>118109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83476C16-2722-4276-A3FA-EE71942E1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670" y="453156"/>
          <a:ext cx="2712720" cy="99845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&#1041;&#1044;&#1044;&#1057;18,04\Documents%20and%20Settings\taranenkosb\Desktop\&#1052;&#1086;&#1080;%20&#1076;&#1086;&#1082;&#1091;&#1084;&#1077;&#1085;&#1090;&#1099;\&#1060;&#1051;&#1050;\&#1060;&#1086;&#1088;&#1084;&#1080;&#1088;&#1086;&#1074;&#1072;&#1085;&#1080;&#1077;%20&#1073;&#1102;&#1076;&#1078;&#1077;&#1090;&#1086;&#1074;%20&#1085;&#1072;%202005\WINDOWS\TEMP\&#1052;&#1086;&#1080;%20&#1076;&#1086;&#1082;&#1091;&#1084;&#1077;&#1085;&#1090;&#1099;\&#1044;&#1077;&#1082;&#1072;&#1073;&#1088;&#1100;new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olia\Desktop\&#1053;&#1086;&#1074;&#1072;&#1103;%20&#1087;&#1072;&#1087;&#1082;&#1072;\&#1054;&#1094;&#1077;&#1085;&#1082;&#1072;%20&#1088;&#1072;&#1073;&#1086;&#1095;&#1072;&#1103;%20&#1087;&#1072;&#1087;&#1082;&#1072;\&#1055;&#1086;&#1088;&#1090;%20&#1040;&#1083;&#1100;&#1103;&#1085;&#1089;\&#1056;&#1072;&#1089;&#1095;&#1077;&#1090;\&#1044;&#1086;&#1093;&#1086;&#1076;&#1085;&#1099;&#1081;\&#1053;&#1072;%20070701\&#1052;&#1086;&#1080;%20&#1076;&#1086;&#1082;&#1091;&#1084;&#1077;&#1085;&#1090;&#1099;\&#1052;&#1040;&#1056;&#1057;\&#1084;&#1072;&#1088;&#1089;&#1080;&#1082;\&#1052;&#1086;&#1085;&#1080;&#1090;&#1086;&#1088;&#1080;&#1085;&#1075;\2004(!)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70;&#1085;&#1080;&#1072;&#1089;&#1090;&#1088;&#1091;&#1084;\&#1054;&#1088;&#1077;&#1085;&#1073;&#1091;&#1088;&#1075;\&#1052;&#1086;&#1080;%20&#1076;&#1086;&#1082;&#1091;&#1084;&#1077;&#1085;&#1090;&#1099;\03.04\Ozenka\2003\V%20Titov_2003\00029_&#1057;&#1055;&#1050;%20&#1054;&#1078;&#1077;&#1088;&#1077;&#1083;&#1100;&#1077;&#1074;&#1089;&#1082;&#1080;&#1081;\00029_&#1054;&#1090;&#1095;&#1077;&#1090;\&#1052;&#1086;&#1080;%20&#1076;&#1086;&#1082;&#1091;&#1084;&#1077;&#1085;&#1090;&#1099;\&#1060;&#1080;&#1085;%20&#1072;&#1085;&#1072;&#1083;&#1080;&#1079;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DOCUME~1\ozenka11\LOCALS~1\Temp\Rar$DI01.497\&#1076;&#1074;&#1080;&#1078;&#1080;&#1084;&#1086;&#1077;%20&#1080;&#1084;-&#1074;&#1086;_&#1092;&#1072;&#1088;&#1084;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88;&#1072;&#1089;&#1095;&#1077;&#1090;%20&#1086;&#1073;&#1097;&#1080;&#1081;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talon.local\etalongroup\15.%20Valuation\Projects\_CURRENT%20PROJECTS\UFG_2015\Strastnoy\07_Calculation\Turk-2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\E\Documents%20and%20Settings\voroninaa\&#1056;&#1072;&#1073;&#1086;&#1095;&#1080;&#1081;%20&#1089;&#1090;&#1086;&#1083;\2009\&#1056;&#1040;&#1055;%202009\&#1076;&#1083;&#1103;%20&#1086;&#1090;&#1087;&#1088;&#1072;&#1074;&#1082;&#1080;\&#1043;&#1054;&#1044;&#1054;&#1042;&#1054;&#1049;%20&#1041;&#1070;&#1044;&#1046;&#1045;&#1058;%20&#1056;&#1040;&#1055;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fsvrmow02\shared\&#1040;&#1076;&#1084;&#1080;&#1085;&#1080;&#1089;&#1090;&#1088;&#1072;&#1090;&#1080;&#1074;&#1085;&#1072;&#1103;%20&#1087;&#1072;&#1087;&#1082;&#1072;\&#1050;&#1072;&#1096;&#1080;&#1088;&#1089;&#1082;&#1080;&#1081;\&#1051;&#1080;&#1086;&#1085;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70;&#1085;&#1080;&#1072;&#1089;&#1090;&#1088;&#1091;&#1084;\&#1054;&#1088;&#1077;&#1085;&#1073;&#1091;&#1088;&#1075;\&#1086;&#1090;&#1095;&#1077;&#1090;&#1099;%20&#1072;&#1088;&#1093;&#1080;&#1074;%2011\&#1060;&#1057;&#1041;\&#1090;&#1077;&#1082;&#1089;&#1090;\&#1054;&#1041;&#1054;&#1056;&#1059;&#1044;&#1054;&#1042;&#1040;&#1053;&#1048;&#1045;%20&#1057;&#1040;&#1056;&#1040;&#1058;&#1054;&#1042;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pomoshnik4/Desktop/&#1056;&#1086;&#1076;&#1080;&#1085;&#1072;%20&#1088;&#1072;&#1089;&#1095;&#1077;&#1090;%20&#1076;&#1074;&#1080;&#1078;&#1080;&#1084;&#1086;&#1075;&#1086;%20(&#1055;&#1056;&#1054;&#1042;&#1045;&#1056;&#1045;&#1053;).xlsx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ata\&#1052;&#1086;&#1080;%20&#1076;&#1086;&#1082;&#1091;&#1084;&#1077;&#1085;&#1090;&#1099;\&#1054;&#1058;&#1063;&#1045;&#1058;&#1067;\&#1045;&#1082;&#1072;&#1090;&#1077;&#1088;&#1080;&#1085;&#1073;&#1091;&#1088;&#1075;&#1089;&#1082;&#1080;&#1081;%20&#1079;&#1072;&#1074;&#1086;&#1076;\&#1054;&#1057;%20&#1045;&#1082;&#1072;&#1090;&#1077;&#1088;&#1080;&#1085;&#1073;&#1091;&#1088;&#1075;&#1089;&#1082;&#1080;&#1081;%20&#1079;&#1072;&#1074;&#1086;&#1076;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ex\&#1092;&#1072;&#1081;&#1083;&#1099;%20alex\&#1072;&#1088;&#1073;&#1080;&#1090;&#1088;&#1072;&#1078;&#1085;&#1099;&#1081;%20&#1091;&#1087;&#1088;&#1072;&#1074;&#1083;&#1103;&#1102;&#1097;&#1080;&#1081;\&#1082;&#1080;&#1085;&#1075;&#1080;&#1089;&#1077;&#1087;&#1087;\&#1088;&#1072;&#1089;&#1095;&#1077;&#1090;%20&#1089;&#1090;&#1086;&#1080;&#1084;&#1086;&#1089;&#1090;&#1080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&amp;A\M&amp;A\HCIS\DEAD\HBO\PFC-PYX1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4;&#1073;&#1098;&#1077;&#1082;&#1090;&#1099;%20&#1085;&#1072;&#1093;&#1086;&#1076;&#1103;&#1097;&#1080;&#1077;&#1089;&#1103;%20&#1074;%20&#1089;&#1086;&#1073;&#1089;&#1090;&#1074;&#1077;&#1085;&#1085;&#1086;&#1089;&#1090;&#1080;%20&#1075;&#1082;%20&#1044;&#1052;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VlaSem\Work_SWA_AVERS\&#1076;&#1083;&#1103;%20&#1074;&#1083;&#1072;&#1076;&#1080;&#1089;&#1083;&#1072;&#1074;&#1072;\&#1088;&#1099;&#1085;_&#1089;&#1090;_&#1079;&#1077;&#1083;&#1077;&#1085;3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12100\&#1084;&#1086;&#1080;%20&#1076;&#1086;&#1082;&#1091;&#1084;&#1077;&#1085;&#1090;&#1099;\Documents%20and%20Settings\Mazaeva_S\&#1052;&#1086;&#1080;%20&#1076;&#1086;&#1082;&#1091;&#1084;&#1077;&#1085;&#1090;&#1099;\&#1053;&#1086;&#1074;&#1072;&#1103;%20&#1087;&#1072;&#1087;&#1082;&#1072;\&#1044;&#1086;&#1083;&#1078;&#1085;&#1080;&#1082;&#1080;%20&#1089;&#1090;.&#1073;&#1072;&#1079;&#1072;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Appraisal\&#1052;&#1086;&#1080;%20&#1076;&#1086;&#1082;&#1091;&#1084;&#1077;&#1085;&#1090;&#1099;\Aho\Aho_2001\&#1079;&#1077;&#1083;&#1077;&#1085;&#1086;&#1075;&#1086;&#1088;&#1089;&#1082;\&#1047;_&#1073;&#1072;&#1079;&#1072;_&#1079;&#1077;&#1083;1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senia\c\&#1052;&#1086;&#1080;%20&#1076;&#1086;&#1082;&#1091;&#1084;&#1077;&#1085;&#1090;&#1099;\&#1047;&#1077;&#1084;&#1083;&#1103;%202000\&#1047;&#1074;&#1078;&#1076;%20&#1082;&#1074;.%206\&#1043;&#1088;&#1072;&#1078;&#1076;&#1072;&#1085;&#1089;&#1082;&#1080;&#1081;%20&#1052;&#1077;&#1084;&#1077;&#1090;&#1086;&#1074;\&#1052;&#1086;&#1088;&#1089;&#1082;&#1086;&#1081;%20&#1092;&#1072;&#1089;&#1072;&#1076;\&#1043;&#1088;&#1072;&#1092;&#1080;&#1082;%20&#1089;&#1090;&#1088;&#1086;&#1080;&#1090;&#1077;&#1083;&#1100;&#1089;&#1090;&#1074;&#1072;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_!Documents\&#1054;&#1094;&#1077;&#1085;&#1082;&#1080;\2000\&#1090;&#1086;&#1088;&#1075;.&#1076;&#1086;&#1084;%20&#1040;&#1088;&#1086;&#1084;&#1072;\&#1088;&#1072;&#1089;&#1089;&#1095;&#1077;&#1090;&#1040;&#1088;&#1086;&#1084;&#1072;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ec\&#1091;&#1087;&#1088;&#1072;&#1074;&#1083;&#1077;&#1085;&#1095;&#1077;&#1089;&#1082;&#1080;&#1081;%20&#1091;&#1095;&#1077;&#1090;\&#1047;&#1072;&#1082;&#1088;&#1099;&#1090;&#1080;&#1077;%20&#1074;%201&#1057;\&#1089;&#1074;&#1077;&#1076;&#1077;&#1085;&#1080;&#1077;%20&#1086;&#1090;&#1095;&#1077;&#1090;&#1086;&#1074;%20&#1076;&#1083;&#1103;%20&#1064;%20&#1087;&#1086;%20ree%20&#1080;%201C\&#1084;&#1072;&#1088;&#1090;\&#1052;&#1040;&#1056;&#1058;%2004.03.15%20&#1048;&#1044;&#1045;&#1040;&#1051;%20&#1087;&#1088;&#1086;&#1074;&#1077;&#1088;&#1082;&#1072;\REE-03KV.xlsx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zenkan01\&#1040;&#1088;&#1093;&#1080;&#1074;%20&#1051;&#1072;&#1076;&#1072;&#1085;&#1086;&#1074;%20&#1051;&#1077;&#1086;&#1085;&#1080;&#1076;\Documents%20and%20Settings\kruchininaEM.MOSCOW\Local%20Settings\Temporary%20Internet%20Files\OLK5\&#1072;&#1085;&#1072;&#1083;&#1086;&#1075;_&#1079;&#1077;&#1084;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tsvdc2\Work\Temp\notes5DA91C\&#1053;&#1086;&#1074;&#1099;&#1081;%20&#1086;&#1073;&#1097;&#1080;&#1081;%20&#1096;&#1072;&#1073;&#1083;&#1086;&#1085;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70;&#1085;&#1080;&#1072;&#1089;&#1090;&#1088;&#1091;&#1084;\&#1054;&#1088;&#1077;&#1085;&#1073;&#1091;&#1088;&#1075;\Documents%20and%20Settings\melnikov\Local%20Settings\Temporary%20Internet%20Files\Content.IE5\ZPS66BBC\&#1041;&#1072;&#1083;&#1072;&#1085;&#1089;%20&#1085;&#1072;%2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elnikov\&#1054;&#1073;&#1084;&#1077;&#1085;\Work\&#1054;&#1094;&#1077;&#1085;&#1082;&#1072;%20(&#1053;&#1080;&#1085;&#1072;)\&#1041;&#1080;&#1079;&#1085;&#1077;&#1089;\&#1048;&#1060;&#1044;\&#1048;&#1089;&#1093;&#1086;&#1076;.&#1076;&#1072;&#1085;&#1085;&#1099;&#1077;_08.12.05\&#1050;&#1072;&#1087;&#1080;&#1090;&#1072;&#1083;-&#1055;&#1077;&#1088;&#1077;&#1089;&#1090;&#1088;&#1072;&#1093;&#1086;&#1074;&#1072;&#1085;&#1080;&#1077;\&#1087;.1&#1041;&#1059;&#1061;&#1043;&#1040;&#1051;&#1058;&#1045;&#1056;&#1057;&#1050;&#1048;&#1049;%20&#1041;&#1040;&#1051;&#1040;&#1053;&#1057;%20&#1057;&#1058;&#1056;&#1040;&#1061;&#1054;&#1042;&#1054;&#1049;%20&#1054;&#1056;&#1043;&#1040;&#1053;&#1048;&#1047;&#1040;&#1062;&#1048;&#1048;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&#1047;&#1077;&#1084;&#1083;&#1103;%202000\&#1043;&#1088;&#1072;&#1078;&#1076;&#1072;&#1085;&#1089;&#1082;&#1080;&#1081;%2024\&#1043;&#1088;&#1072;&#1078;&#1076;&#1072;&#1085;&#1089;&#1082;&#1080;&#1081;%20&#1052;&#1077;&#1084;&#1077;&#1090;&#1086;&#1074;\&#1052;&#1086;&#1088;&#1089;&#1082;&#1086;&#1081;%20&#1092;&#1072;&#1089;&#1072;&#1076;\&#1043;&#1088;&#1072;&#1092;&#1080;&#1082;%20&#1089;&#1090;&#1088;&#1086;&#1080;&#1090;&#1077;&#1083;&#1100;&#1089;&#1090;&#1074;&#1072;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16.%20Consulting\PROJECTS_Closed\2015\Airports%20of%20Regions\&#1084;&#1072;&#1090;&#1077;&#1088;&#1080;&#1072;&#1083;&#1099;%20&#1076;&#1083;&#1103;%20&#1074;&#1089;&#1090;&#1088;&#1077;&#1095;&#1080;\&#1092;&#1080;&#1085;%20&#1084;&#1086;&#1076;&#1077;&#1083;&#1080;\others\resid.xlsx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BORZIL~1\LOCALS~1\Temp\05.05.2003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56;&#1099;&#1085;&#1086;&#1095;&#1085;&#1072;&#1103;%202009\&#1057;&#1077;&#1085;&#1090;&#1103;&#1073;&#1088;&#1100;\&#1053;&#1077;&#1076;&#1074;&#1080;&#1078;&#1080;&#1084;&#1086;&#1089;&#1090;&#1100;\&#1045;&#1074;&#1088;&#1086;-&#1061;&#1086;&#1083;&#1076;&#1080;&#1085;&#1075;\&#1045;&#1074;&#1088;&#1086;-&#1061;&#1086;&#1083;&#1076;&#1080;&#1085;&#1075;%20&#1080;&#1089;&#1087;&#1088;&#1072;&#1074;&#1083;.%20&#1053;&#1054;&#1071;&#1041;&#1056;&#1068;\&#1055;&#1080;&#1090;&#1086;&#1085;\&#1054;&#1090;&#1076;&#1077;&#1083;&#1100;&#1085;&#1086;&#1089;&#1090;&#1086;&#1103;&#1097;&#1077;&#1077;%20&#1079;&#1076;&#1072;&#1085;&#1080;&#1077;\&#1054;&#1082;&#1090;&#1103;&#1073;&#1088;&#1100;\&#1040;&#1083;&#1083;&#1072;&#1088;&#1084;,%20&#1050;&#1091;&#1079;&#1085;&#1077;&#1094;&#1086;&#1074;&#1089;&#1082;&#1072;&#1103;\Documents%20and%20Settings\Tola\&#1052;&#1086;&#1080;%20&#1076;&#1086;&#1082;&#1091;&#1084;&#1077;&#1085;&#1090;&#1099;\&#1059;&#1095;&#1077;&#1073;&#1072;%20&#1054;&#1041;\&#1044;&#1080;&#1087;&#1083;&#1086;&#1084;\&#1047;&#1076;&#1072;&#1085;&#1080;&#1077;\&#1048;&#1079;&#1085;&#1086;&#1089;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&#1056;&#1099;&#1085;&#1086;&#1095;&#1085;&#1072;&#1103;%202007\&#1044;&#1077;&#1082;&#1072;&#1073;&#1088;&#1100;\&#1053;&#1077;&#1076;&#1074;&#1080;&#1078;&#1080;&#1084;&#1086;&#1089;&#1090;&#1100;\&#1049;&#1086;&#1088;&#1082;%20&#1044;&#1077;&#1074;&#1077;&#1083;&#1086;&#1087;&#1084;&#1077;&#1085;&#1090;%20&#1075;&#1088;&#1091;&#1087;&#1087;\&#1054;&#1090;&#1095;&#1077;&#1090;&#1099;\&#1054;&#1090;&#1076;&#1077;&#1083;&#1100;&#1085;&#1086;&#1089;&#1090;&#1086;&#1103;&#1097;&#1077;&#1077;%20&#1079;&#1076;&#1072;&#1085;&#1080;&#1077;\&#1054;&#1082;&#1090;&#1103;&#1073;&#1088;&#1100;\&#1040;&#1083;&#1083;&#1072;&#1088;&#1084;,%20&#1050;&#1091;&#1079;&#1085;&#1077;&#1094;&#1086;&#1074;&#1089;&#1082;&#1072;&#1103;\Documents%20and%20Settings\Tola\&#1052;&#1086;&#1080;%20&#1076;&#1086;&#1082;&#1091;&#1084;&#1077;&#1085;&#1090;&#1099;\&#1059;&#1095;&#1077;&#1073;&#1072;%20&#1054;&#1041;\&#1044;&#1080;&#1087;&#1083;&#1086;&#1084;\&#1047;&#1076;&#1072;&#1085;&#1080;&#1077;\&#1048;&#1079;&#1085;&#1086;&#1089;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&#1054;&#1090;&#1095;&#1077;&#1090;&#1099;\&#1054;&#1090;&#1076;&#1077;&#1083;&#1100;&#1085;&#1086;&#1089;&#1090;&#1086;&#1103;&#1097;&#1077;&#1077;%20&#1079;&#1076;&#1072;&#1085;&#1080;&#1077;\&#1054;&#1082;&#1090;&#1103;&#1073;&#1088;&#1100;\&#1040;&#1083;&#1083;&#1072;&#1088;&#1084;,%20&#1050;&#1091;&#1079;&#1085;&#1077;&#1094;&#1086;&#1074;&#1089;&#1082;&#1072;&#1103;\Documents%20and%20Settings\Tola\&#1052;&#1086;&#1080;%20&#1076;&#1086;&#1082;&#1091;&#1084;&#1077;&#1085;&#1090;&#1099;\&#1059;&#1095;&#1077;&#1073;&#1072;%20&#1054;&#1041;\&#1044;&#1080;&#1087;&#1083;&#1086;&#1084;\&#1047;&#1076;&#1072;&#1085;&#1080;&#1077;\&#1048;&#1079;&#1085;&#1086;&#1089;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s\dostup\&#1052;&#1086;&#1080;%20&#1076;&#1086;&#1082;&#1091;&#1084;&#1077;&#1085;&#1090;&#1099;\&#1063;&#1077;&#1088;&#1085;&#1086;&#1074;&#1080;&#1082;&#1080;\&#1053;&#1057;&#1050;\NSK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erver\&#1060;&#1057;&#1050;-&#1057;&#1050;\&#1060;&#1080;&#1085;&#1072;&#1085;&#1089;&#1086;&#1074;&#1086;-&#1101;&#1082;&#1086;&#1085;&#1086;&#1084;&#1080;&#1095;&#1077;&#1089;&#1082;&#1080;&#1081;%20&#1076;&#1077;&#1087;&#1072;&#1088;&#1090;&#1072;&#1084;&#1077;&#1085;&#1090;\&#1055;&#1083;&#1072;&#1085;&#1086;&#1074;&#1086;-&#1101;&#1082;&#1086;&#1085;&#1086;&#1084;&#1080;&#1095;&#1077;&#1089;&#1082;&#1080;&#1081;%20&#1086;&#1090;&#1076;&#1077;&#1083;\&#1043;&#1088;&#1072;&#1092;&#1080;&#1082;&#1080;%20&#1089;&#1090;&#1088;&#1086;&#1080;&#1090;&#1077;&#1083;&#1100;&#1089;&#1090;&#1074;&#1072;\&#1044;&#1077;&#1082;&#1072;&#1073;&#1088;&#1100;%202002\&#1040;&#1088;&#1093;&#1080;&#1074;%20&#1075;&#1088;&#1072;&#1092;&#1080;&#1082;&#1086;&#1074;%20&#1089;&#1090;&#1088;&#1086;&#1080;&#1090;&#1077;&#1083;&#1100;&#1089;&#1074;&#1090;&#1072;\&#1043;&#1088;&#1072;&#1092;&#1080;&#1082;&#1080;%20&#1043;&#1072;&#1074;&#1088;&#1089;&#1082;&#1086;&#1081;%2015-17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N-1\LUK_FS\UNITS\PEO\Plan\2002\Ln\&#1043;&#1086;&#1076;&#1086;&#1074;&#1086;&#1081;&#1055;&#1083;&#1072;&#1085;\&#1055;&#1083;&#1072;&#1085;%20&#1085;&#1072;%202002%20&#1075;&#1086;&#1076;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\E\DOCUME~1\Bukseev\LOCALS~1\Temp\bat\31300764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1054;&#1094;&#1077;&#1085;&#1082;&#1072;%20&#1088;&#1072;&#1073;&#1086;&#1095;&#1072;&#1103;%20&#1087;&#1072;&#1087;&#1082;&#1072;\AS%20DBT\&#1056;&#1072;&#1089;&#1095;&#1077;&#1090;\&#1052;&#1086;&#1080;%20&#1076;&#1086;&#1082;&#1091;&#1084;&#1077;&#1085;&#1090;&#1099;\&#1052;&#1040;&#1056;&#1057;\&#1084;&#1072;&#1088;&#1089;&#1080;&#1082;\&#1052;&#1086;&#1085;&#1080;&#1090;&#1086;&#1088;&#1080;&#1085;&#1075;\2004(!)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&#1056;&#1040;&#1041;&#1054;&#1058;&#1040;/2016/03%202016/&#1056;&#1086;&#1076;&#1080;&#1085;&#1072;/07.04.2016/&#1047;&#1072;&#1090;&#1088;&#1072;&#1090;&#1085;%20&#1096;&#1072;&#1073;&#1083;&#1086;&#1085;%20&#1085;&#1077;&#1076;&#1074;&#1080;&#1078;&#1082;&#1080;%20&#1086;&#1090;%2007.04.2016%20&#1087;&#1088;&#1086;&#1089;&#1090;&#1072;&#1074;&#1080;&#1083;%20&#1074;&#1089;&#1077;%20&#1089;&#1090;&#1086;&#1080;&#1084;&#1086;&#1089;&#1090;&#1080;.xlsx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terina\d\WIN\&#1056;&#1072;&#1073;&#1086;&#1095;&#1080;&#1081;%20&#1089;&#1090;&#1086;&#1083;\&#1062;&#1077;&#1093;%2013_&#1086;&#1073;&#1086;&#1088;&#1091;&#1076;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3C835DF\&#1044;&#1086;&#1075;&#1086;&#1074;&#1086;&#1088;%20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72;&#1088;&#1077;&#1085;&#1076;&#1072;_&#1089;&#1088;&#1072;&#1074;&#1085;&#1080;&#1090;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51;&#1070;&#1044;&#1052;&#1048;&#1051;&#1040;\C\&#1052;&#1086;&#1080;%20&#1076;&#1086;&#1082;&#1091;&#1084;&#1077;&#1085;&#1090;&#1099;\GERASIMCHUK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fsvrmow02\shared\&#1044;&#1091;&#1073;&#1083;&#1077;&#1088;.(&#1058;&#1077;&#1082;&#1091;&#1097;&#1080;&#1077;%20&#1087;&#1088;&#1086;&#1077;&#1082;&#1090;&#1099;)\&#1051;&#1080;&#1086;&#1085;%20(&#1063;&#1080;&#1075;&#1072;&#1089;&#1086;&#1074;&#1086;%20II.2)\&#1095;&#1077;&#1088;&#1085;&#1086;&#1074;&#1080;&#1082;&#1080;\CF&#1069;&#1082;&#1089;&#1087;&#1077;&#1088;&#1090;USD.xlsx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kfiles\Public\&#1052;&#1086;&#1080;%20&#1076;&#1086;&#1082;&#1091;&#1084;&#1077;&#1085;&#1090;&#1099;\OCENCA\UFA\&#1052;&#1086;&#1080;%20&#1076;&#1086;&#1082;&#1091;&#1084;&#1077;&#1085;&#1090;&#1099;\&#1060;&#1080;&#1085;%20&#1072;&#1085;&#1072;&#1083;&#1080;&#1079;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microsoft.com/office/2006/relationships/xlExternalLinkPath/xlPathMissing" Target="GAAP%20&amp;%20IAS%20Group%20TB%20&amp;%20Reports%20Q3%202002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ail.yandex.ru/DOCUME~1/BORZIL~1/LOCALS~1/Temp/05.05.2003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12100\&#1084;&#1086;&#1080;%20&#1076;&#1086;&#1082;&#1091;&#1084;&#1077;&#1085;&#1090;&#1099;\&#1082;&#1074;&#1072;&#1088;&#1090;&#1080;&#1088;&#1086;&#1075;&#1088;&#1072;&#1084;&#1084;&#1099;%20&#1087;&#1086;%20&#1086;&#1073;&#1098;&#1077;&#1082;&#1090;&#1072;&#1084;\&#1042;.&#1054;.,%20&#1052;&#1060;&#1058;&#1062;,%20&#1082;&#1074;&#1072;&#1088;&#1090;&#1072;&#1083;%203&#1040;II,%20&#1082;&#1086;&#1088;&#1087;&#1091;&#1089;%203&#1040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1054;&#1094;&#1077;&#1085;&#1082;&#1072;%20&#1088;&#1072;&#1073;&#1086;&#1095;&#1072;&#1103;%20&#1087;&#1072;&#1087;&#1082;&#1072;\&#1055;&#1086;&#1088;&#1090;%20&#1040;&#1083;&#1100;&#1103;&#1085;&#1089;\&#1056;&#1072;&#1089;&#1095;&#1077;&#1090;\&#1044;&#1086;&#1093;&#1086;&#1076;&#1085;&#1099;&#1081;\Final_&#1085;&#1072;%20070701\&#1052;&#1086;&#1080;%20&#1076;&#1086;&#1082;&#1091;&#1084;&#1077;&#1085;&#1090;&#1099;\&#1052;&#1040;&#1056;&#1057;\&#1084;&#1072;&#1088;&#1089;&#1080;&#1082;\&#1052;&#1086;&#1085;&#1080;&#1090;&#1086;&#1088;&#1080;&#1085;&#1075;\2004(!)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Harlamov_A.LENSPECSMU\&#1052;&#1086;&#1080;%20&#1076;&#1086;&#1082;&#1091;&#1084;&#1077;&#1085;&#1090;&#1099;\&#1044;&#1086;&#1082;&#1091;&#1084;&#1077;&#1085;&#1090;&#1099;\&#1055;&#1088;&#1086;&#1077;&#1082;&#1090;&#1099;\&#1042;&#1099;&#1087;&#1086;&#1083;&#1085;&#1077;&#1085;&#1085;&#1099;&#1077;\&#1043;&#1088;&#1072;&#1078;&#1076;&#1072;&#1085;&#1082;&#1072;-&#1057;&#1080;&#1090;&#1080;\&#1055;&#1086;&#1089;&#1083;&#1077;&#1076;&#1085;&#1103;&#1103;%20&#1074;&#1077;&#1088;&#1089;&#1080;&#1103;\&#1058;&#1069;&#1054;%20&#1043;&#1088;&#1072;&#1078;&#1076;&#1072;&#1085;&#1082;&#1072;%20&#1057;&#1080;&#1090;&#1080;%2020%2002%2006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4;&#1094;&#1077;&#1085;&#1082;&#1072;\11.%20&#1041;&#1048;&#1047;&#1053;&#1045;&#1057;\&#1055;&#1088;&#1086;&#1077;&#1082;&#1090;&#1099;\2015\&#1050;&#1088;&#1072;&#1089;&#1085;&#1086;&#1076;&#1072;&#1088;%20&#1040;&#1075;&#1088;&#1086;%20-%20&#1086;&#1094;&#1077;&#1085;&#1082;&#1072;%20&#1093;&#1086;&#1083;&#1076;&#1080;&#1085;&#1075;&#1072;%2031.10.2015\&#1056;&#1072;&#1073;&#1086;&#1095;&#1072;&#1103;\&#1056;&#1072;&#1089;&#1095;&#1077;&#1090;\1.1%20&#1041;&#1077;&#1083;&#1086;&#1077;\DCF_&#1041;&#1077;&#1083;&#1086;&#1077;_14.12.2015_v-1.xlsx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mexp-server\&#1058;&#1045;&#1050;&#1059;&#1065;&#1048;&#1045;%20&#1055;&#1056;&#1054;&#1045;&#1050;&#1058;&#1067;\_______&#1052;&#1054;&#1048;%20&#1088;&#1072;&#1079;&#1088;&#1072;&#1073;&#1086;&#1090;&#1082;&#1080;_(main%20!!!)\!!!!_2-&#1081;%20&#1101;&#1090;&#1072;&#1087;_&#1047;&#1072;&#1082;&#1083;&#1102;&#1095;&#1077;&#1085;&#1080;&#1077;\&#1056;&#1072;&#1073;&#1086;&#1095;&#1077;&#1077;%20&#1084;&#1077;&#1089;&#1090;&#1086;%20&#1087;&#1086;%202-&#1084;&#1091;%20&#1101;&#1090;&#1072;&#1087;&#1091;\4_&#1056;&#1077;&#1077;&#1089;&#1090;&#1088;%20_new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dombrovsky_i\Local%20Settings\Temp\&#1055;&#1083;&#1072;&#1090;&#1077;&#1078;&#1080;%20&#1079;&#1072;%20&#1072;&#1087;&#1088;&#1077;&#1083;&#1100;%202003%20&#1075;.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Harlamov_A\&#1052;&#1086;&#1080;%20&#1076;&#1086;&#1082;&#1091;&#1084;&#1077;&#1085;&#1090;&#1099;\&#1044;&#1086;&#1082;&#1091;&#1084;&#1077;&#1085;&#1090;&#1099;\&#1055;&#1088;&#1086;&#1077;&#1082;&#1090;&#1099;\&#1043;&#1088;&#1072;&#1078;&#1076;&#1072;&#1085;&#1082;&#1072;-&#1057;&#1080;&#1090;&#1080;\&#1058;&#1069;&#1054;%20&#1043;&#1088;&#1072;&#1078;&#1076;&#1072;&#1085;&#1082;&#1072;%20&#1057;&#1080;&#1090;&#1080;10&#1084;&#1083;&#1085;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Harlamov_A\&#1052;&#1086;&#1080;%20&#1076;&#1086;&#1082;&#1091;&#1084;&#1077;&#1085;&#1090;&#1099;\&#1044;&#1086;&#1082;&#1091;&#1084;&#1077;&#1085;&#1090;&#1099;\&#1055;&#1088;&#1086;&#1077;&#1082;&#1090;&#1099;\&#1055;&#1077;&#1090;&#1088;&#1086;&#1079;&#1072;&#1074;&#1086;&#1076;&#1089;&#1082;&#1072;&#1103;\&#1058;&#1069;&#1054;%20&#1055;&#1077;&#1090;&#1088;&#1086;&#1079;&#1072;&#1074;&#1086;&#1076;&#1089;&#1082;&#1072;&#1103;1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_!Documents\&#1052;&#1086;&#1080;%20&#1076;&#1086;&#1082;&#1091;&#1084;&#1077;&#1085;&#1090;&#1099;\&#1040;&#1074;&#1077;&#1088;&#1089;\&#1043;&#1059;&#1048;&#1054;&#1053;\&#1053;&#1080;&#1080;&#1101;&#1092;&#1072;\&#1079;&#1072;&#1090;&#1088;&#1072;&#1090;_&#1085;&#1080;&#1080;&#1101;&#1092;&#1072;1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s\dostup\Documents%20and%20Settings\audit7.AUDIT7\&#1056;&#1072;&#1073;&#1086;&#1095;&#1080;&#1081;%20&#1089;&#1090;&#1086;&#1083;\&#1088;&#1072;&#1073;&#1086;&#1095;&#1072;&#1103;%202\&#1044;&#1086;&#1084;&#1072;\&#1044;&#1086;&#1084;&#1072;\&#1056;&#1072;&#1089;&#1095;&#1077;&#1090;&#1099;%20&#1072;&#1088;&#1083;&#1077;&#1082;&#1080;&#1085;&#1086;\HOTEL_C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ARHIVE\Tropyshko\&#1053;&#1077;&#1079;&#1072;&#1074;&#1055;&#1088;&#1077;&#1089;&#1089;\PRAVDA-NZ1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ROCO\Pto_doc\&#1053;&#1045;&#1042;&#1057;&#1050;&#1054;&#1043;&#1054;,4%20(7&#1101;&#1090;&#1072;&#1078;.)%20-%20&#1089;&#1084;&#1077;&#1090;&#1099;\Y%20&#1053;&#1077;&#1074;,4%20-%20&#1089;&#1084;&#1077;&#1090;&#1072;%20&#1057;&#1058;&#1056;&#1054;&#1048;&#1058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&#1054;&#1094;&#1077;&#1085;&#1082;&#1072;%20&#1088;&#1072;&#1073;&#1086;&#1095;&#1072;&#1103;%20&#1087;&#1072;&#1087;&#1082;&#1072;\&#1057;&#1074;&#1077;&#1090;&#1086;&#1074;&#1099;&#1077;_&#1090;&#1077;&#1093;&#1085;&#1086;&#1083;&#1086;&#1075;&#1080;&#1080;\&#1056;&#1072;&#1089;&#1095;&#1077;&#1090;\&#1044;&#1086;&#1093;&#1086;&#1076;&#1085;&#1099;&#1081;\AS%20DBT\&#1056;&#1072;&#1089;&#1095;&#1077;&#1090;\&#1052;&#1086;&#1080;%20&#1076;&#1086;&#1082;&#1091;&#1084;&#1077;&#1085;&#1090;&#1099;\&#1052;&#1040;&#1056;&#1057;\&#1084;&#1072;&#1088;&#1089;&#1080;&#1082;\&#1052;&#1086;&#1085;&#1080;&#1090;&#1086;&#1088;&#1080;&#1085;&#1075;\2004(!)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70;&#1085;&#1080;&#1072;&#1089;&#1090;&#1088;&#1091;&#1084;\&#1054;&#1088;&#1077;&#1085;&#1073;&#1091;&#1088;&#1075;\DOCUME~1\ozenka11\LOCALS~1\Temp\Rar$DI01.497\&#1076;&#1074;&#1080;&#1078;&#1080;&#1084;&#1086;&#1077;%20&#1080;&#1084;-&#1074;&#1086;_&#1092;&#1072;&#1088;&#1084;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70;&#1085;&#1080;&#1072;&#1089;&#1090;&#1088;&#1091;&#1084;\&#1054;&#1088;&#1077;&#1085;&#1073;&#1091;&#1088;&#1075;\Documents%20and%20Settings\KalachevaYV\&#1052;&#1086;&#1080;%20&#1076;&#1086;&#1082;&#1091;&#1084;&#1077;&#1085;&#1090;&#1099;\&#1054;&#1062;&#1045;&#1053;&#1050;&#1040;\&#1053;&#1045;&#1044;&#1042;&#1048;&#1046;&#1048;&#1052;&#1054;&#1057;&#1058;&#1068;\&#1062;&#1077;&#1085;&#1090;&#1088;&#1086;&#1101;&#1085;&#1077;&#1088;&#1075;&#1086;&#1084;&#1086;&#1085;&#1090;&#1072;&#1078;\1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Documents%20and%20Settings\KalachevaYV\&#1052;&#1086;&#1080;%20&#1076;&#1086;&#1082;&#1091;&#1084;&#1077;&#1085;&#1090;&#1099;\&#1054;&#1062;&#1045;&#1053;&#1050;&#1040;\&#1053;&#1045;&#1044;&#1042;&#1048;&#1046;&#1048;&#1052;&#1054;&#1057;&#1058;&#1068;\&#1062;&#1077;&#1085;&#1090;&#1088;&#1086;&#1101;&#1085;&#1077;&#1088;&#1075;&#1086;&#1084;&#1086;&#1085;&#1090;&#1072;&#1078;\1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ARHIVE\Tropyshko\&#1057;&#1083;&#1072;&#1074;&#1080;&#1095;\GAMMA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40;&#1088;&#1093;&#1080;&#1074;\&#1060;&#1072;&#1082;&#1090;&#1086;&#1088;&#1080;&#1103;\&#1069;&#1082;&#1089;&#1087;&#1088;&#1077;&#1089;&#1089;&#1099;\&#1054;&#1090;&#1095;&#1077;&#1090;&#1099;\&#1054;&#1090;&#1076;&#1077;&#1083;&#1100;&#1085;&#1086;&#1089;&#1090;&#1086;&#1103;&#1097;&#1077;&#1077;%20&#1079;&#1076;&#1072;&#1085;&#1080;&#1077;\&#1054;&#1082;&#1090;&#1103;&#1073;&#1088;&#1100;\&#1040;&#1083;&#1083;&#1072;&#1088;&#1084;,%20&#1050;&#1091;&#1079;&#1085;&#1077;&#1094;&#1086;&#1074;&#1089;&#1082;&#1072;&#1103;\Documents%20and%20Settings\Tola\&#1052;&#1086;&#1080;%20&#1076;&#1086;&#1082;&#1091;&#1084;&#1077;&#1085;&#1090;&#1099;\&#1059;&#1095;&#1077;&#1073;&#1072;%20&#1054;&#1041;\&#1044;&#1080;&#1087;&#1083;&#1086;&#1084;\&#1047;&#1076;&#1072;&#1085;&#1080;&#1077;\&#1048;&#1079;&#1085;&#1086;&#1089;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52;&#1086;&#1080;%20&#1076;&#1086;&#1082;&#1091;&#1084;&#1077;&#1085;&#1090;&#1099;\&#1041;&#1051;&#1040;&#1053;&#1050;&#1048;\&#1040;&#1051;&#1052;&#1040;&#1047;\GERASIMCHUK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70;&#1085;&#1080;&#1072;&#1089;&#1090;&#1088;&#1091;&#1084;\&#1054;&#1088;&#1077;&#1085;&#1073;&#1091;&#1088;&#1075;\Work\&#1054;&#1094;&#1077;&#1085;&#1082;&#1072;\&#1057;&#1074;&#1103;&#1079;&#1100;&#1089;&#1090;&#1088;&#1086;&#1081;\&#1057;&#1074;&#1103;&#1079;&#1100;&#1089;&#1090;&#1088;&#1086;&#1081;\16.10\&#1054;&#1087;&#1088;&#1086;&#1089;&#1085;&#1080;&#1082;%20&#1047;&#1040;&#1054;%20&#1052;&#1043;&#1057;&#1057;%20(&#1085;&#1072;%201.03.08&#1075;)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~1\VASENE~1\LOCALS~1\Temp\&#1057;&#1055;&#1063;-&#1082;&#1088;&#1077;&#1076;&#1080;&#1090;%20&#1040;&#1083;&#1100;&#1092;&#1072;&#1073;&#1072;&#1085;&#1082;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Harlamov_A\&#1052;&#1086;&#1080;%20&#1076;&#1086;&#1082;&#1091;&#1084;&#1077;&#1085;&#1090;&#1099;\&#1044;&#1086;&#1082;&#1091;&#1084;&#1077;&#1085;&#1090;&#1099;\&#1055;&#1088;&#1086;&#1077;&#1082;&#1090;&#1099;\&#1054;&#1082;&#1090;&#1103;&#1073;&#1088;&#1100;&#1089;&#1082;&#1072;&#1103;%20&#1085;&#1072;&#1073;\&#1058;&#1069;&#1054;%20&#1054;&#1082;&#1090;&#1103;&#1073;&#1088;&#1100;&#1089;&#1082;&#1072;&#1103;%20&#1085;&#1072;&#1073;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perts\Common_E\111\&#1064;&#1072;&#1096;&#1072;\&#1050;&#1088;&#1072;&#1081;&#1085;&#1077;&#1074;&#1072;\&#1086;&#1094;&#1077;&#1085;&#1082;&#1072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&#1054;&#1094;&#1077;&#1085;&#1082;&#1072;%20&#1088;&#1072;&#1073;&#1086;&#1095;&#1072;&#1103;%20&#1087;&#1072;&#1087;&#1082;&#1072;\&#1057;&#1074;&#1077;&#1090;&#1086;&#1074;&#1099;&#1077;_&#1090;&#1077;&#1093;&#1085;&#1086;&#1083;&#1086;&#1075;&#1080;&#1080;\&#1056;&#1072;&#1089;&#1095;&#1077;&#1090;\&#1044;&#1086;&#1093;&#1086;&#1076;&#1085;&#1099;&#1081;\&#1055;&#1086;&#1088;&#1090;%20&#1040;&#1083;&#1100;&#1103;&#1085;&#1089;\&#1056;&#1072;&#1089;&#1095;&#1077;&#1090;\&#1044;&#1086;&#1093;&#1086;&#1076;&#1085;&#1099;&#1081;\Final_&#1085;&#1072;%20070701\&#1052;&#1086;&#1080;%20&#1076;&#1086;&#1082;&#1091;&#1084;&#1077;&#1085;&#1090;&#1099;\&#1052;&#1040;&#1056;&#1057;\&#1084;&#1072;&#1088;&#1089;&#1080;&#1082;\&#1052;&#1086;&#1085;&#1080;&#1090;&#1086;&#1088;&#1080;&#1085;&#1075;\2004(!)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64;&#1040;&#1041;&#1051;&#1054;&#1053;_&#1056;&#1040;&#1057;&#1063;&#1045;&#1058;&#1067;_old1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ba\&#1056;&#1072;&#1073;&#1086;&#1095;&#1072;&#1103;\&#1088;&#1072;&#1089;&#1095;&#1077;&#1090;%20&#1043;&#1059;&#1055;%20&#1086;&#1082;.%20&#1074;&#1072;&#1088;.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7;&#1058;&#1056;&#1054;&#1048;&#1058;&#1045;&#1051;&#1068;&#1057;&#1058;&#1042;&#1054;%20-%20&#1056;&#1050;&#1057;%20(28-02-2009)&#1075;&#1088;%20&#1083;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\E\Documents%20and%20Settings\zgoda\Local%20Settings\Temporary%20Internet%20Files\OLK327\&#1040;&#1083;&#1100;&#1073;&#1086;&#1084;%20&#1092;&#1086;&#1088;&#1084;%20&#1086;&#1090;&#1095;&#1077;&#1090;&#1085;&#1086;&#1089;&#1090;&#1080;\&#1040;&#1083;&#1100;&#1073;&#1086;&#1084;%20&#1092;&#1086;&#1088;&#1084;%20&#1055;&#1069;&#1054;\&#1060;&#1086;&#1088;&#1084;&#1072;%204%20&#1050;&#1088;%20&#1080;%20&#1044;&#1073;%20&#1079;&#1072;&#1076;&#1086;&#1083;&#1078;&#1077;&#1085;&#1085;&#1086;&#1089;&#1090;&#1100;%20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86;&#1094;&#1077;&#1085;&#1082;&#1072;\&#1056;&#1072;&#1073;&#1086;&#1095;&#1080;&#1077;%20&#1076;&#1086;&#1082;&#1091;&#1084;&#1077;&#1085;&#1090;&#1099;\&#1044;&#1086;&#1084;&#1072;\&#1056;&#1072;&#1089;&#1095;&#1077;&#1090;&#1099;%20&#1072;&#1088;&#1083;&#1077;&#1082;&#1080;&#1085;&#1086;\HOTEL_C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sha\Inout\Ruben's%20work\&#1054;&#1088;&#1077;&#1085;&#1073;&#1091;&#1088;&#1075;&#1101;&#1085;&#1077;&#1088;&#1075;&#1086;&#1088;&#1077;&#1084;&#1086;&#1085;&#1090;_&#1079;&#1076;&#1072;&#1085;&#1080;&#1077;\Zemlya_Dohod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s1\dostup\&#1052;&#1086;&#1080;%20&#1076;&#1086;&#1082;&#1091;&#1084;&#1077;&#1085;&#1090;&#1099;\&#1063;&#1077;&#1088;&#1085;&#1086;&#1074;&#1080;&#1082;&#1080;\&#1053;&#1057;&#1050;\NSK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Harlamov_A.LENSPECSMU\&#1052;&#1086;&#1080;%20&#1076;&#1086;&#1082;&#1091;&#1084;&#1077;&#1085;&#1090;&#1099;\&#1044;&#1086;&#1082;&#1091;&#1084;&#1077;&#1085;&#1090;&#1099;\&#1055;&#1088;&#1086;&#1077;&#1082;&#1090;&#1099;\&#1040;&#1076;&#1088;&#1077;&#1089;&#1085;&#1072;&#1103;%20&#1087;&#1088;&#1086;&#1075;&#1088;&#1072;&#1084;&#1084;&#1072;\&#1044;&#1083;&#1103;%20CLN\&#1040;&#1076;&#1088;&#1077;&#1089;&#1085;&#1072;&#1103;%20&#1087;&#1088;&#1086;&#1075;&#1088;&#1072;&#1084;&#1084;&#1072;%2013%2010%2005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Exchange\&#1070;&#1083;&#1103;\&#1047;&#1072;&#1082;&#1086;&#1085;&#1095;&#1077;&#1085;&#1085;&#1099;&#1077;%20&#1082;&#1088;&#1080;&#1091;&#1096;&#1080;\DOCUME~1\audit7\LOCALS~1\Temp\bat\&#1056;&#1072;&#1073;&#1086;&#1095;&#1080;&#1077;%20&#1076;&#1086;&#1082;&#1091;&#1084;&#1077;&#1085;&#1090;&#1099;\&#1044;&#1086;&#1084;&#1072;\&#1056;&#1072;&#1089;&#1095;&#1077;&#1090;&#1099;%20&#1072;&#1088;&#1083;&#1077;&#1082;&#1080;&#1085;&#1086;\HOTEL_C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AF56F0B\&#1079;&#1072;&#1090;&#1088;&#1072;&#1090;&#1085;&#1099;&#1081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&#1054;&#1094;&#1077;&#1085;&#1082;&#1072;%20&#1088;&#1072;&#1073;&#1086;&#1095;&#1072;&#1103;%20&#1087;&#1072;&#1087;&#1082;&#1072;\&#1057;&#1074;&#1077;&#1090;&#1086;&#1074;&#1099;&#1077;_&#1090;&#1077;&#1093;&#1085;&#1086;&#1083;&#1086;&#1075;&#1080;&#1080;\&#1056;&#1072;&#1089;&#1095;&#1077;&#1090;\&#1044;&#1086;&#1093;&#1086;&#1076;&#1085;&#1099;&#1081;\&#1055;&#1086;&#1088;&#1090;%20&#1040;&#1083;&#1100;&#1103;&#1085;&#1089;\&#1056;&#1072;&#1089;&#1095;&#1077;&#1090;\&#1044;&#1086;&#1093;&#1086;&#1076;&#1085;&#1099;&#1081;\&#1053;&#1072;%20070701\&#1052;&#1086;&#1080;%20&#1076;&#1086;&#1082;&#1091;&#1084;&#1077;&#1085;&#1090;&#1099;\&#1052;&#1040;&#1056;&#1057;\&#1084;&#1072;&#1088;&#1089;&#1080;&#1082;\&#1052;&#1086;&#1085;&#1080;&#1090;&#1086;&#1088;&#1080;&#1085;&#1075;\2004(!)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Appraisal\8636~1\2003\&#1052;&#1086;&#1085;&#1091;&#1084;&#1077;&#1085;&#1090;%20&#1089;&#1082;&#1091;&#1083;&#1100;&#1087;&#1090;&#1091;&#1088;&#1072;\&#1057;&#1072;&#1083;&#1086;&#1074;&#1072;%20&#1083;&#1080;&#1090;%20&#1040;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roco\pto_doc\&#1052;&#1086;&#1080;%20&#1076;&#1086;&#1082;&#1091;&#1084;&#1077;&#1085;&#1090;&#1099;\&#1044;&#1054;&#1053;&#1057;&#1050;&#1054;&#1043;&#1054;\&#1040;&#1050;&#1058;&#1067;%20Kashtan.%20~&#1089;&#1090;&#1088;&#1086;&#1080;&#1090;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3;&#1044;%20(2)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a\&#1088;&#1072;&#1073;&#1086;&#1095;&#1072;&#1103;\&#1052;&#1086;&#1080;%20&#1076;&#1086;&#1082;&#1091;&#1084;&#1077;&#1085;&#1090;&#1099;\&#1056;&#1072;&#1073;&#1086;&#1095;&#1072;&#1103;\sovetskaia\base_4_sp_new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7.16\setevaya\VALUATION\&#1055;&#1056;&#1054;&#1045;&#1050;&#1058;&#1067;\LSR_Potfolio_Dec2019\Calculation\Commercial\33-1.%20&#1057;&#1084;&#1086;&#1083;&#1100;&#1085;&#1099;&#1081;%20&#1087;&#1072;&#1088;&#1082;_&#1041;11%202020.xlsx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70;&#1085;&#1080;&#1072;&#1089;&#1090;&#1088;&#1091;&#1084;\&#1054;&#1088;&#1077;&#1085;&#1073;&#1091;&#1088;&#1075;\Documents%20and%20Settings\vladimirova\My%20Documents\&#1043;&#1086;&#1088;&#1073;&#1086;&#1074;&#1086;\&#1088;&#1072;&#1089;&#1095;&#1077;&#1090;%20&#1043;&#1086;&#1088;&#1073;&#1086;&#1074;&#1086;_&#1070;&#1083;&#1103;%20(24.09).xlsx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56;&#1099;&#1085;&#1086;&#1095;&#1085;&#1072;&#1103;%202004\&#1044;&#1077;&#1082;&#1072;&#1073;&#1088;&#1100;\&#1053;&#1077;&#1076;&#1074;&#1080;&#1078;&#1080;&#1084;&#1086;&#1089;&#1090;&#1100;\&#1054;&#1090;&#1076;&#1077;&#1083;&#1089;&#1090;&#1088;&#1086;&#1081;\&#1054;&#1090;&#1095;&#1077;&#1090;\&#1054;&#1090;&#1076;&#1077;&#1083;&#1089;&#1090;&#1088;&#1086;&#1081;_&#1086;&#1090;&#1095;&#1077;&#1090;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Appraisal\&#1054;&#1094;&#1077;&#1085;&#1082;&#1080;\2002\&#1051;&#1091;&#1082;&#1086;&#1081;&#1083;%202\&#1057;&#1074;&#1086;&#1076;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roco\pto_doc\&#1052;&#1086;&#1080;%20&#1076;&#1086;&#1082;&#1091;&#1084;&#1077;&#1085;&#1090;&#1099;\&#1053;&#1045;&#1042;&#1057;&#1050;&#1054;&#1043;&#1054;.1\&#1052;&#1086;&#1080;%20&#1076;&#1086;&#1082;&#1091;&#1084;&#1077;&#1085;&#1090;&#1099;\GERASIMCHUK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UEFISH\Pto_doc\PTO2\&#1053;&#1077;&#1074;&#1089;&#1082;&#1086;&#1075;&#1086;%205\_Ram\&#1058;&#1045;\&#1052;&#1040;&#1058;&#1045;&#1056;&#1048;&#1040;&#1051;&#1067;%20&#1057;&#1040;&#1053;&#1058;&#1045;&#1061;%2024.03.04%20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Fields\belanak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perts\&#1042;_&#1040;&#1088;&#1093;&#1080;&#1074;\&#1056;&#1099;&#1085;&#1086;&#1095;&#1085;&#1072;&#1103;%202004\&#1053;&#1086;&#1103;&#1073;&#1088;&#1100;\&#1053;&#1077;&#1076;&#1074;&#1080;&#1078;&#1080;&#1084;&#1086;&#1089;&#1090;&#1100;\&#1058;&#1086;&#1082;&#1089;&#1086;&#1074;&#1089;&#1082;&#1086;&#1077;%20&#1088;&#1072;&#1081;&#1087;&#1086;\&#1086;&#1094;&#1077;&#1085;&#1082;&#1072;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ex\welcome!\&#1052;&#1086;&#1080;%20&#1076;&#1086;&#1082;&#1091;&#1084;&#1077;&#1085;&#1090;&#1099;\&#1041;&#1077;&#1088;&#1077;&#1078;&#1085;&#1086;&#1081;\&#1056;&#1072;&#1073;&#1086;&#1095;&#1072;&#1103;\&#1052;&#1072;&#1075;&#1072;&#1079;&#1080;&#1085;&#1050;&#1085;&#1080;&#1075;&#1080;\&#1050;_&#1082;&#1085;&#1080;&#1075;&#1080;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USERS\INFORM\FIN\PASX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ex\welcome!\&#1052;&#1086;&#1080;%20&#1076;&#1086;&#1082;&#1091;&#1084;&#1077;&#1085;&#1090;&#1099;\AAntonov\Real%20estate\&#1092;&#1088;&#1091;&#1085;&#1079;&#1077;\&#1060;&#1088;&#1091;&#1085;&#1079;&#1077;&#1085;&#1089;&#1082;&#1080;&#1081;_&#1041;&#1077;&#1088;&#1077;&#1078;&#1085;&#1086;&#1081;\&#1050;_&#1060;&#1088;&#1091;&#1085;&#1079;&#1077;&#1085;&#1089;&#1082;&#1080;&#1081;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70;&#1085;&#1080;&#1072;&#1089;&#1090;&#1088;&#1091;&#1084;\&#1054;&#1088;&#1077;&#1085;&#1073;&#1091;&#1088;&#1075;\Documents%20and%20Settings\User2\&#1056;&#1072;&#1073;&#1086;&#1095;&#1080;&#1081;%20&#1089;&#1090;&#1086;&#1083;\&#1041;&#1080;&#1079;&#1085;&#1077;&#1089;%20&#1086;&#1090;%20&#1040;&#1083;&#1077;&#1082;&#1089;&#1077;&#1103;\&#1054;&#1094;&#1077;&#1085;&#1082;&#1072;%20&#1073;&#1080;&#1079;&#1085;&#1077;&#1089;&#1072;%20&#1047;&#1040;&#1054;%20&#1058;&#1088;&#1072;&#1085;&#1089;&#1080;&#1085;&#1092;&#1086;&#1088;&#1084;\&#1054;&#1090;%20&#1074;&#1099;&#1088;&#1091;&#1095;&#1082;&#1080;%20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60;&#1086;&#1088;&#1084;&#1099;%20&#1087;&#1083;&#1072;&#1085;&#1086;&#1074;%209.72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KryzhanovskiySO\Desktop\&#1055;&#1088;&#1080;&#1084;&#1077;&#1088;%20&#1088;&#1072;&#1089;&#1095;&#1077;&#1090;&#1072;\&#1052;&#1072;&#1088;&#1096;&#1072;&#1083;%20&#1080;%20&#1043;&#1050;&#1057;\28032016_&#1056;&#1072;&#1089;&#1095;&#1077;&#1090;_&#1053;&#1080;&#1078;&#1085;&#1077;&#1082;&#1072;&#1084;&#1089;&#1082;&#1085;&#1077;&#1092;&#1090;&#1077;&#1093;&#1080;&#1084;_&#1052;&#1080;&#1054;.xlsx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im-server\&#1054;&#1073;&#1084;&#1077;&#1085;&#1085;&#1072;&#1103;\Slugby%20zam.gen.direktora%20po%20ekonomike%20i%20finansam\Finansovaya%20direkciya\Gruppa%20finansovogo%20planirovaniya%20i%20analiza\&#1060;&#1080;&#1085;&#1087;&#1083;&#1072;&#1085;%20&#1085;&#1072;%202004%20&#1075;\&#1048;&#1083;&#1080;&#1084;&#1093;&#1080;&#1084;&#1087;&#1088;&#1086;&#1084;%202004\&#1060;&#1055;%20&#1048;&#1061;&#1055;%202004%20-%201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56;&#1099;&#1085;&#1086;&#1095;&#1085;&#1072;&#1103;%202007\&#1044;&#1077;&#1082;&#1072;&#1073;&#1088;&#1100;\&#1053;&#1077;&#1076;&#1074;&#1080;&#1078;&#1080;&#1084;&#1086;&#1089;&#1090;&#1100;\&#1060;&#1072;&#1082;&#1090;&#1086;&#1088;&#1080;&#1103;%20&#1051;&#1057;\&#1069;&#1082;&#1089;&#1087;&#1088;&#1077;&#1089;&#1089;&#1099;\&#1054;&#1090;&#1095;&#1077;&#1090;&#1099;\&#1054;&#1090;&#1076;&#1077;&#1083;&#1100;&#1085;&#1086;&#1089;&#1090;&#1086;&#1103;&#1097;&#1077;&#1077;%20&#1079;&#1076;&#1072;&#1085;&#1080;&#1077;\&#1054;&#1082;&#1090;&#1103;&#1073;&#1088;&#1100;\&#1040;&#1083;&#1083;&#1072;&#1088;&#1084;,%20&#1050;&#1091;&#1079;&#1085;&#1077;&#1094;&#1086;&#1074;&#1089;&#1082;&#1072;&#1103;\Documents%20and%20Settings\Tola\&#1052;&#1086;&#1080;%20&#1076;&#1086;&#1082;&#1091;&#1084;&#1077;&#1085;&#1090;&#1099;\&#1059;&#1095;&#1077;&#1073;&#1072;%20&#1054;&#1041;\&#1044;&#1080;&#1087;&#1083;&#1086;&#1084;\&#1047;&#1076;&#1072;&#1085;&#1080;&#1077;\&#1048;&#1079;&#1085;&#1086;&#1089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wnstrRep\2005%20&#1075;&#1086;&#1076;\GFO%2002_2005\Refining\&#1069;&#1082;&#1089;&#1087;&#1086;&#1088;&#1090;%202005_&#1087;&#1086;&#1076;&#1090;&#1074;&#1077;&#1088;&#1078;&#1076;&#1077;&#1085;&#1086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s\dostup\ARHIVE\Tropyshko\&#1057;&#1083;&#1072;&#1074;&#1080;&#1095;\GAMM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lnikov\&#1086;&#1073;&#1084;&#1077;&#1085;\work\&#1076;&#1086;&#1082;&#1091;&#1084;&#1077;&#1085;&#1090;&#1099;\2004\&#1055;&#1048;&#1054;&#1043;&#1051;&#1054;&#1041;&#1040;&#1051;\&#1086;&#1090;&#1095;&#1077;&#1090;\&#1080;&#1085;&#1092;&#1086;&#1088;&#1084;&#1072;&#1094;&#1080;&#1103;\&#1055;&#1086;&#1083;&#1091;&#1095;&#1077;&#1085;&#1085;&#1072;&#1103;%20&#1080;&#1085;&#1092;&#1086;&#1088;&#1084;&#1072;&#1094;&#1080;&#1103;\S_20040331_GAAP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talon.local\etalongroup\Deps\Valuation%20Russia\_Lider-Invest\07_Calculation\SK\&#1055;&#1088;&#1086;&#1074;&#1077;&#1088;&#1082;&#1072;\03_From_Client\&#1052;&#1086;&#1076;&#1077;&#1083;&#1080;\Lider%20Invest_financial%20model_Colliers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ptune\Home\WINDOWS\TEMP\&#1052;&#1072;&#1088;&#1080;&#1085;&#1072;\&#1054;&#1090;&#1095;&#1077;&#1090;&#1099;%20&#1087;&#1086;%20&#1086;&#1094;&#1077;&#1085;&#1082;&#1077;\&#1064;&#1072;&#1084;&#1087;&#1072;&#1085;&#1089;&#1082;&#1086;&#1077;_&#1045;&#1042;&#1064;&#1050;\MODUL@~1\&#1060;&#1080;&#1085;%20&#1072;&#1085;&#1072;&#1083;&#1080;&#1079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Exchange\&#1070;&#1083;&#1103;\&#1047;&#1072;&#1082;&#1086;&#1085;&#1095;&#1077;&#1085;&#1085;&#1099;&#1077;%20&#1082;&#1088;&#1080;&#1091;&#1096;&#1080;\docs\17-&#1081;%20&#1087;&#1088;.%20&#1052;&#1072;&#1088;&#1100;&#1080;&#1085;&#1086;&#1081;%20&#1088;&#1086;&#1097;&#1080;\Documents%20and%20Settings\&#1040;&#1076;&#1084;&#1080;&#1085;&#1080;&#1089;&#1090;&#1088;&#1072;&#1090;&#1086;&#1088;\&#1056;&#1072;&#1073;&#1086;&#1095;&#1080;&#1081;%20&#1089;&#1090;&#1086;&#1083;\&#1050;&#1040;&#1058;&#1045;&#1063;&#1050;&#1040;\&#1048;&#1085;&#1074;&#1077;&#1089;&#1090;&#1099;\&#1048;&#1085;&#1074;&#1077;&#1089;&#1090;&#1040;&#1085;&#1072;&#1083;&#1080;&#1079;%20&#1052;&#1072;&#1088;&#1100;&#1080;&#1085;&#1089;&#1082;&#1080;&#1081;%20&#1087;&#1072;&#1088;&#1082;%20118%20&#1089;%20&#1085;&#1086;&#1074;&#1086;&#1081;%20&#1089;&#1077;&#1073;&#1077;&#1089;&#1090;&#1086;&#1080;&#1084;&#1086;&#1089;&#1090;&#1100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CONSULTING\Current%20Work\_Izhevsk_Ippodrom\Calculations\&#1054;&#1090;%20&#1059;&#1090;&#1082;&#1080;&#1085;&#1086;&#1081;\&#1055;&#1088;&#1080;&#1084;&#1077;&#1088;&#1099;\Users\Inna.Golovchenko\AppData\Local\Microsoft\Windows\Temporary%20Internet%20Files\Content.Outlook\OPISLBQE\SSA%20Debt%20tool%20RUS_april%202009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elnikov\&#1054;&#1073;&#1084;&#1077;&#1085;\Temp\c.lotus.notes.data\PROGRAM%20FILES\&#1053;&#1040;&#1051;&#1054;&#1043;&#1054;&#1055;&#1051;&#1040;&#1058;&#1045;&#1051;&#1068;&#1065;&#1048;&#1050;%20&#1070;&#1051;\INPUTDOC\BASES\bb011003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in.mail.ru/Work/&#1076;&#1086;&#1082;&#1091;&#1084;&#1077;&#1085;&#1090;&#1099;/2004/&#1040;&#1055;&#1048;-&#1087;&#1072;&#1085;&#1089;&#1080;&#1086;&#1085;&#1072;&#1090;&#1099;/Generation%20Model-PSKOV%20-%20261104_11_30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7.16\Business\Renova\Work\Zhivchikov\&#1050;&#1069;&#1057;\&#1048;&#1088;&#1082;&#1091;&#1090;&#1089;&#1082;\Estimation\Model_IrkutskEnergoStroy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spb-fs02\Public\Users\o.sarul\AppData\Local\Microsoft\Windows\Temporary%20Internet%20Files\Content.Outlook\8AGT0YSS\&#1044;&#1086;&#1087;&#1086;&#1083;.&#1085;&#1072;%20&#1088;&#1091;&#1089;&#1089;&#1082;&#1086;&#1084;%20Management%20Report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07\clients\Documents\Projects\RAO%20UES\Sample%20Reports\CEZ\CEZ_Model_16_m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kim\home\ARHIVE\Tropyshko\&#1057;&#1083;&#1072;&#1074;&#1080;&#1095;\GAMM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tsvdc2\Work\Documents%20and%20Settings\Vahitov_V\Local%20Settings\Temporary%20Internet%20Files\Content.Outlook\4BAC2WHW\&#1051;&#1080;&#1079;&#1080;&#1085;&#1075;%20&#1070;&#1085;&#1090;&#1072;&#1085;&#1085;%20xls%20(2)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Vasenev_V\&#1052;&#1086;&#1080;%20&#1076;&#1086;&#1082;&#1091;&#1084;&#1077;&#1085;&#1090;&#1099;\&#1056;&#1077;&#1081;&#1090;&#1080;&#1085;&#1075;&#1086;&#1074;&#1072;&#1085;&#1080;&#1077;\Standard%20&amp;%20Poor's\&#1054;&#1090;&#1095;&#1077;&#1090;&#1099;%20&#1087;&#1086;%20&#1083;&#1080;&#1082;&#1074;&#1080;&#1076;&#1085;&#1086;&#1089;&#1090;&#1080;\Liquidity%20Report%20-%20CJSC%20SSMO%20LenSpecSMU%20-%20Q1%202008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clients\My%20Documents\Billing%20system%20analysi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talon.local\etalongroup\WINDOWS\TEMP\notesE1EF34\Gestion\$SOFTR\Budget%202005-2006\721\SYNTH_PL.syn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1\BPBRAT99IPpl.XLW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Finance\4_&#1052;&#1057;&#1060;&#1054;\&#1040;&#1091;&#1076;&#1080;&#1090;\6&#1084;2017\&#1056;&#1057;&#1041;&#1059;\007_&#1041;&#1053;&#1061;_&#1044;&#1072;&#1077;&#1074;\&#1058;&#1088;&#1072;&#1085;&#1089;&#1092;&#1086;&#1088;&#1084;&#1072;&#1094;&#1080;&#1103;_007_&#1044;&#1072;&#1077;&#1074;_06_2017_ver_1_0.xlsm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1\&#1054;&#1073;&#1084;&#1077;&#1085;\&#1052;&#1086;&#1080;%20&#1076;&#1086;&#1082;&#1091;&#1084;&#1077;&#1085;&#1090;&#1099;\&#1044;&#1086;&#1082;&#1091;&#1084;&#1077;&#1085;&#1090;&#1099;\&#1076;&#1086;&#1075;&#1086;&#1074;&#1086;&#1088;\&#1087;&#1072;&#1088;&#1090;&#1085;&#1077;&#1088;&#1089;&#1090;&#1074;&#1086;\&#1050;&#1040;&#1055;&#1054;%20&#1086;&#1092;&#1077;&#1088;&#1090;&#1072;%2021%203%20&#1085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07\Healthcare\Comparator%20companies\Specialty%20Pharma\new_spec_pharma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f\programs\TEMP\&#1086;&#1090;&#1095;&#1077;&#1090;&#1085;&#1086;&#1089;&#1090;&#1100;_%2030.06.99.&#1095;1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&#1052;&#1086;&#1080;%20&#1076;&#1086;&#1082;&#1091;&#1084;&#1077;&#1085;&#1090;&#1099;\&#1055;&#1083;&#1072;&#1085;&#1080;&#1088;&#1086;&#1074;&#1072;&#1085;&#1080;&#1077;\1_&#1082;&#1074;_02\&#1040;&#1075;&#1077;&#1085;&#1090;&#1099;\&#1044;&#1072;&#1085;&#1077;&#1090;\findir\&#1057;&#1086;&#1074;&#1077;&#1090;&#1044;&#1080;&#1088;&#1077;&#1082;&#1090;&#1086;&#1088;&#1086;&#1074;\&#1041;&#1080;&#1079;&#1085;&#1077;&#1089;&#1087;&#1083;&#1072;&#1085;\TT_03_12_01&#1087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s\dostup\Documents%20and%20Settings\penzina\&#1056;&#1072;&#1073;&#1086;&#1095;&#1080;&#1081;%20&#1089;&#1090;&#1086;&#1083;\&#1050;&#1085;&#1080;&#1075;&#1072;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in.mail.ru/Work/&#1076;&#1086;&#1082;&#1091;&#1084;&#1077;&#1085;&#1090;&#1099;/2004/&#1055;&#1089;&#1082;&#1086;&#1074;&#1089;&#1082;&#1072;&#1103;%20&#1043;&#1056;&#1069;&#1057;%20&#1085;&#1072;%2001.07.2004/&#1092;&#1080;&#1085;&#1072;&#1083;/Generation%20Model-PSKOV%20-%20251104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7.%20Analytics\2.Office\Analytics\Deals\Deals\Competition_deals\2014\Q3\Colliers_Executed_deals_Q3_2014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roco\pto_doc\&#1052;&#1086;&#1080;%20&#1076;&#1086;&#1082;&#1091;&#1084;&#1077;&#1085;&#1090;&#1099;\&#1044;&#1054;&#1053;&#1057;&#1050;&#1054;&#1043;&#1054;\&#1040;&#1050;&#1058;&#1067;%20Kashtan.%20~&#1074;&#1085;.&#1101;&#1083;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im-server\&#1054;&#1073;&#1084;&#1077;&#1085;&#1085;&#1072;&#1103;\DOCUME~1\2ADB~1\LOCALS~1\Temp\bat\999513B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Novatek\Comps\Comps%20analysis%20(spare)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70;&#1085;&#1080;&#1072;&#1089;&#1090;&#1088;&#1091;&#1084;\&#1054;&#1088;&#1077;&#1085;&#1073;&#1091;&#1088;&#1075;\Documents%20and%20Settings\serega\My%20Documents\Serguei\2009%20%23%23\08-2009\&#1044;&#1048;&#1043;&#1052;_&#1054;&#1088;&#1091;&#1078;&#1077;&#1081;&#1085;&#1099;&#1081;%20&#1087;&#1077;&#1088;.,%20&#1076;.19\&#1056;&#1072;&#1089;&#1095;&#1077;&#1090;%20&#1054;&#1088;&#1091;&#1078;&#1077;&#1081;&#1085;&#1099;&#1081;_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mexp-server\&#1058;&#1045;&#1050;&#1059;&#1065;&#1048;&#1045;%20&#1055;&#1056;&#1054;&#1045;&#1050;&#1058;&#1067;\&#1055;&#1080;&#1090;&#1077;&#1088;-%20&#1086;&#1073;&#1083;&#1072;&#1089;&#1090;&#1100;\&#1055;&#1091;&#1096;&#1082;&#1080;&#1085;\&#1051;&#1080;&#1089;&#1090;%20Microsoft%20Excel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ocuments%20and%20Settings\slobodzyan\Local%20Settings\Temporary%20Internet%20Files\OLK12\&#1041;&#1072;&#1079;&#1072;-&#1072;&#1088;&#1077;&#1085;&#1076;&#1085;.&#1087;&#1083;&#1072;&#1090;&#1077;&#1078;&#1080;%20(&#1086;&#1089;&#1085;&#1086;&#1074;&#1085;&#1072;&#1103;)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CONSULTING\Current%20Work\_Izhevsk_Ippodrom\Calculations\&#1054;&#1090;%20&#1059;&#1090;&#1082;&#1080;&#1085;&#1086;&#1081;\&#1055;&#1088;&#1080;&#1084;&#1077;&#1088;&#1099;\From%20Moscow\160512_Vol7_finmodel_Retail_5Y-30-70_Rubl-Arch.xlsb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f\programs\NAV\PIF_Report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TCHUNK\depts$\&#1041;&#1044;&#1044;&#1057;18,04\Documents%20and%20Settings\taranenkosb\Desktop\&#1052;&#1086;&#1080;%20&#1076;&#1086;&#1082;&#1091;&#1084;&#1077;&#1085;&#1090;&#1099;\&#1060;&#1051;&#1050;\&#1060;&#1086;&#1088;&#1084;&#1080;&#1088;&#1086;&#1074;&#1072;&#1085;&#1080;&#1077;%20&#1073;&#1102;&#1076;&#1078;&#1077;&#1090;&#1086;&#1074;%20&#1085;&#1072;%202005\WINDOWS\TEMP\&#1052;&#1086;&#1080;%20&#1076;&#1086;&#1082;&#1091;&#1084;&#1077;&#1085;&#1090;&#1099;\&#1044;&#1077;&#1082;&#1072;&#1073;&#1088;&#1100;new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LenSpecSMU\Financial%20department\Standard%20&amp;%20Poor's\Liquidity%20Reports\CJSC%20SSMO%20LenSpetSMU_LR%202013%20Q4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asovskaya\2000\05_00\02_00\Backup%20of%20BUDJ_02_00.xlk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im-server\&#1054;&#1073;&#1084;&#1077;&#1085;&#1085;&#1072;&#1103;\DOCUME~1\2ADB~1\LOCALS~1\Temp\bat\376A878B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pen.ru\files\Users\pinchuk_nn\AppData\Local\Microsoft\Windows\Temporary%20Internet%20Files\Content.Outlook\EMSUWSY6\&#1053;&#1054;&#1042;&#1054;&#1057;&#1048;&#1041;%20&#1089;&#1086;%20&#1089;&#1090;&#1077;&#1087;&#1077;&#1085;&#1100;&#1102;%20&#1075;&#1086;&#1090;&#1086;&#1074;&#1085;&#1086;&#1089;&#1090;&#1100;&#1102;%20&#1073;&#1083;&#1080;&#1079;&#1082;&#1086;&#1081;%20&#1082;%20&#1085;&#1077;&#1079;&#1072;&#1074;&#1077;&#1088;&#1096;&#1077;&#1085;&#1082;&#1077;.xlsm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&#1052;&#1050;&#1055;&#1062;&#1053;\&#1088;&#1072;&#1089;&#1095;&#1077;&#1090;%20&#1087;&#1088;.%20&#1052;&#1080;&#1088;&#1072;,%20&#1074;&#1083;.127-129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avada\buhgalteriy\OTZ\PROCH\GAAPS\US%20GAAP%2003-01\Reporting%20package%20FORM\Link-ex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_Ram\&#1058;&#1045;\Rasc%20$%20&#1089;&#1090;&#1088;&#1086;&#1080;&#1090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J\7.%20Analytics\2.Office\Analytics\Presentations\Short_Market_Overview\2015\January\January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7.%20Analytics\2.Office\Analytics\Presentations\Short_Market_Overview\2015\4Q\March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&#1056;&#1099;&#1085;&#1086;&#1095;&#1085;&#1072;&#1103;%202007\&#1044;&#1077;&#1082;&#1072;&#1073;&#1088;&#1100;\&#1053;&#1077;&#1076;&#1074;&#1080;&#1078;&#1080;&#1084;&#1086;&#1089;&#1090;&#1100;\&#1060;&#1072;&#1082;&#1090;&#1086;&#1088;&#1080;&#1103;%20&#1051;&#1057;\&#1069;&#1082;&#1089;&#1087;&#1088;&#1077;&#1089;&#1089;&#1099;\&#1054;&#1090;&#1095;&#1077;&#1090;&#1099;\&#1054;&#1090;&#1076;&#1077;&#1083;&#1100;&#1085;&#1086;&#1089;&#1090;&#1086;&#1103;&#1097;&#1077;&#1077;%20&#1079;&#1076;&#1072;&#1085;&#1080;&#1077;\&#1054;&#1082;&#1090;&#1103;&#1073;&#1088;&#1100;\&#1040;&#1083;&#1083;&#1072;&#1088;&#1084;,%20&#1050;&#1091;&#1079;&#1085;&#1077;&#1094;&#1086;&#1074;&#1089;&#1082;&#1072;&#1103;\Documents%20and%20Settings\Tola\&#1052;&#1086;&#1080;%20&#1076;&#1086;&#1082;&#1091;&#1084;&#1077;&#1085;&#1090;&#1099;\&#1059;&#1095;&#1077;&#1073;&#1072;%20&#1054;&#1041;\&#1044;&#1080;&#1087;&#1083;&#1086;&#1084;\&#1047;&#1076;&#1072;&#1085;&#1080;&#1077;\&#1048;&#1079;&#1085;&#1086;&#1089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olia\Desktop\&#1053;&#1086;&#1074;&#1072;&#1103;%20&#1087;&#1072;&#1087;&#1082;&#1072;\Documents%20and%20Settings\VVYermakov\&#1052;&#1086;&#1080;%20&#1076;&#1086;&#1082;&#1091;&#1084;&#1077;&#1085;&#1090;&#1099;\Economics,%20CI%20&amp;%20IR\5%20Year%20Plan%20Deliverables\5y%20FINAL%2014%20MAY%202004\$25%20and%20Base%20Transneft%20corrected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70;&#1085;&#1080;&#1072;&#1089;&#1090;&#1088;&#1091;&#1084;\&#1054;&#1088;&#1077;&#1085;&#1073;&#1091;&#1088;&#1075;\Ocenka\&#1055;&#1088;&#1086;&#1095;&#1077;&#1077;\&#1055;&#1088;&#1080;&#1084;&#1077;&#1088;&#1099;\&#1055;&#1072;&#1087;&#1082;&#1072;\&#1060;&#1080;&#1085;&#1072;&#1085;&#1089;-&#1051;&#1080;&#1079;&#1080;&#1085;&#1075;_3%20&#1087;&#1086;&#1076;&#1093;&#1086;&#1076;&#1072;-20.07.2005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1\&#1054;&#1073;&#1084;&#1077;&#1085;\Work\&#1088;&#1072;&#1073;&#1086;&#1090;&#1072;\2005\&#1079;&#1072;&#1082;&#1086;&#1085;&#1095;&#1077;&#1085;&#1085;&#1099;&#1077;%20&#1088;&#1072;&#1073;&#1086;&#1090;&#1099;\&#1054;&#1040;&#1054;%20&#1040;&#1088;&#1085;&#1077;&#1089;&#1090;\&#1092;&#1080;&#1085;&#1072;&#1083;\&#1088;&#1072;&#1089;&#1095;&#1077;&#1090;\3%20&#1087;&#1086;&#1076;&#1093;&#1086;&#1076;&#1072;-&#1040;&#1088;&#1085;&#1077;&#1089;&#1090;-&#1080;&#1090;&#1086;&#1075;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1\&#1054;&#1073;&#1084;&#1077;&#1085;\Work\&#1076;&#1086;&#1082;&#1091;&#1084;&#1077;&#1085;&#1090;&#1099;\2004\&#1053;&#1077;&#1092;&#1090;&#1103;&#1085;&#1099;&#1077;%20&#1082;&#1086;&#1084;&#1087;&#1072;&#1085;&#1080;&#1080;\&#1041;&#1072;&#1083;&#1072;&#1085;&#1089;&#1099;_01.12.2004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64;&#1040;&#1041;&#1051;&#1054;&#1053;_&#1056;&#1040;&#1057;&#1063;&#1045;&#1058;&#1067;1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im-server\&#1054;&#1073;&#1084;&#1077;&#1085;&#1085;&#1072;&#1103;\DOCUME~1\2ADB~1\LOCALS~1\Temp\bat\14120EC0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8;&#1069;&#1054;%20&#1055;&#1086;&#1090;&#1086;&#1082;&#1080;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1\&#1054;&#1073;&#1084;&#1077;&#1085;\sdelki\&#1054;&#1051;&#1045;&#1043;\&#1050;&#1059;&#1053;&#1062;&#1045;&#1042;&#1054;\DeltaAutoLease%20calculator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ho\aho\&#1052;&#1086;&#1080;%20&#1076;&#1086;&#1082;&#1091;&#1084;&#1077;&#1085;&#1090;&#1099;\Aho\&#1048;&#1088;&#1083;&#1077;&#1085;\&#1088;&#1072;&#1089;&#1095;_&#1087;&#1088;&#1089;_&#1080;&#1088;&#1083;&#1077;&#1085;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CONSULTING\Current%20Work\_Izhevsk_Ippodrom\Calculations\&#1054;&#1090;%20&#1059;&#1090;&#1082;&#1080;&#1085;&#1086;&#1081;\&#1055;&#1088;&#1080;&#1084;&#1077;&#1088;&#1099;\Documents%20and%20Settings\mapro\Desktop\&#1042;&#1058;&#1041;\&#1057;&#1080;&#1089;&#1090;&#1077;&#1084;&#1072;%20&#1043;&#1072;&#1083;&#1089;\1_&#1060;&#1080;&#1085;%20&#1084;&#1086;&#1076;&#1077;&#1083;&#1080;\2_VTB\Kamelia_final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vyacheslavov-av\Documents\&#1056;&#1091;&#1073;&#1083;&#1077;&#1074;&#1086;-&#1040;&#1088;&#1093;&#1072;&#1085;&#1075;&#1077;&#1083;&#1100;&#1089;&#1082;&#1086;&#1077;\2015%2012%2014\2015%2012%2016%20&#1052;&#1060;&#1062;+&#1089;&#1094;&#1077;&#1085;&#1072;&#1088;&#1080;&#1080;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mow-fs02\j\&#1054;&#1054;&#1054;%20&#1051;&#1091;&#1082;&#1086;&#1081;&#1083;%20&#1057;&#1077;&#1074;&#1077;&#1088;\&#1055;&#1086;&#1083;&#1091;&#1095;&#1077;&#1085;&#1085;&#1099;&#1077;%20&#1084;&#1072;&#1090;&#1077;&#1088;&#1080;&#1072;&#1083;&#1099;%20&#1074;%20&#1082;&#1086;&#1084;&#1072;&#1085;&#1076;&#1080;&#1088;&#1086;&#1074;&#1082;&#1077;\&#1058;&#1077;&#1093;&#1089;&#1093;&#1077;&#1084;&#1072;_&#1061;&#1099;&#1083;&#1100;&#1095;&#1091;&#1102;\&#1058;&#1077;&#1093;&#1089;&#1093;&#1077;&#1084;&#1072;\&#1075;&#1083;&#1072;&#1074;&#1072;5\&#1061;&#1099;&#1083;&#1100;&#1095;&#1091;&#1102;&#1089;&#1082;&#1086;&#1077;-800-2-&#1089;&#1086;&#1074;&#1084;.&#1101;&#1082;&#1089;&#1087;&#1083;.+10&#1089;&#1082;&#1074;.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beg.net\documents\&#1052;&#1086;&#1080;%20&#1076;&#1086;&#1082;&#1091;&#1084;&#1077;&#1085;&#1090;&#1099;\GENERAL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j\7.%20Analytics\2.Office\Analytics\Presentations\Short_Market_Overview\2015\February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gk-server\&#1087;&#1101;&#1086;\&#1057;&#1087;&#1077;&#1094;&#1078;&#1080;&#1088;&#1099;\&#1069;&#1082;&#1086;&#1085;&#1086;&#1084;&#1095;&#1077;&#1089;&#1082;&#1080;&#1081;%20&#1072;&#1085;&#1072;&#1083;&#1080;&#1079;\&#1056;&#1072;&#1073;&#1086;&#1090;&#1072;%20&#1079;&#1072;%20&#1051;&#1077;&#1085;&#1091;\&#1084;&#1086;&#1103;%20&#1088;&#1072;&#1073;&#1086;&#1090;&#1072;\&#1072;&#1087;&#1088;&#1077;&#1083;&#1100;%20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6\d\&#1084;&#1086;&#1083;&#1086;&#1082;&#1086;&#1079;&#1072;&#1074;&#1086;&#1076;&#1099;%20(%20&#1042;%20)\&#1050;.&#1075;&#1074;&#1072;&#1088;&#1076;&#1080;&#1103;\&#1073;&#1072;&#1079;&#1086;&#1074;&#1072;&#1103;\&#1055;&#1083;&#1072;&#1085;%20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7.%20Analytics\2.Office\Analytics\Reports\2014\Q4\&#1054;&#1073;&#1089;&#1095;&#1077;&#1090;%20&#1089;&#1087;&#1088;&#1086;&#1089;&#1072;%202014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IgMoz\WINDOWS\&#1056;&#1072;&#1073;&#1086;&#1095;&#1080;&#1081;%20&#1089;&#1090;&#1086;&#1083;\OCENKA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Reports\Cash%20Flow\&#1041;&#1102;&#1076;&#1078;&#1077;&#1090;&#1080;&#1088;&#1086;&#1074;&#1072;&#1085;&#1080;&#1077;\6m-2003%20&#1092;&#1072;&#1082;&#1090;%20&#1073;&#1077;&#1079;%20&#1073;&#1072;&#1088;&#1090;&#1077;&#1088;&#1072;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romova\d\&#1050;&#1080;&#1088;&#1072;\&#1041;&#1086;&#1075;&#1072;&#1090;&#1099;&#1088;&#1089;&#1082;&#1080;&#1081;\&#1041;&#1086;&#1075;&#1072;&#1090;,%20&#1084;&#1086;&#1081;\&#1041;&#1086;&#1075;&#1072;&#1090;%20&#1085;&#1086;&#1074;%20&#1080;&#1102;&#1085;&#1100;%202006\&#1050;&#1086;&#1087;&#1080;&#1103;%20&#1056;&#1072;&#1089;&#1095;&#1077;&#1090;&#1099;%20&#1074;&#1089;&#1077;%20&#1044;&#1085;&#1077;&#1087;&#1088;&#1086;&#1087;&#1077;&#1090;&#1088;&#1086;&#1074;&#1089;&#1082;&#1072;&#1103;%20&#1076;(1).%2010%20&#1079;&#1072;&#1090;&#1088;&#1072;&#1090;&#1085;&#1099;&#1081;,%20&#1076;&#1086;&#1093;&#1086;&#1076;&#1085;&#1099;&#1081;,%20&#1091;&#1089;&#1083;%20&#1089;&#1074;&#1086;&#1073;&#1086;&#1076;&#1085;&#1099;&#1081;%20&#1087;&#1088;&#1086;&#1074;&#1077;&#1088;&#1077;&#1085;%202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kuchko\Documents%20and%20Settings\armen\My%20Documents\Companies\SPT\&#1041;&#1102;&#1076;&#1078;&#1077;&#1090;%202001\Bp2001est4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stem\BusPlan\&#1041;&#1080;&#1079;&#1085;&#1077;&#1089;-&#1087;&#1083;&#1072;&#1085;%202003\&#1055;&#1088;&#1086;&#1075;&#1085;&#1086;&#1079;&#1099;%20&#1076;&#1074;&#1080;&#1078;&#1077;&#1085;&#1080;&#1103;%20&#1076;&#1077;&#1085;&#1077;&#1078;&#1085;&#1099;&#1093;%20&#1089;&#1088;&#1077;&#1076;&#1089;&#1090;&#1074;\&#1044;&#1086;%20&#1072;&#1087;&#1088;&#1077;&#1083;&#1103;%2004%20&#1089;%20&#1085;&#1086;&#1074;&#1086;&#1075;&#1086;&#1076;&#1085;&#1077;&#1081;%20&#1082;&#1072;&#1084;&#1087;&#1072;&#1085;&#1080;&#1077;&#1081;\&#1055;&#1088;&#1086;&#1075;&#1085;&#1086;&#1079;%20&#1076;&#1077;&#1082;&#1072;&#1073;&#1088;&#1100;%20&#1072;&#1087;&#1088;&#1077;&#1083;&#1100;%202004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qfs06\SRB\Documents%20and%20Settings\VVYermakov\&#1052;&#1086;&#1080;%20&#1076;&#1086;&#1082;&#1091;&#1084;&#1077;&#1085;&#1090;&#1099;\Economics,%20CI%20&amp;%20IR\Economic\Planning%20assumptions%20model\Building%20blocks\2005%20Model%2036.5-33-14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SUGAR/Mult_usr/Balans/12-December/11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STER\UserSets\SUGAR\Mult_usr\Balans\A-Reestry\UP_OVER\03_2001\&#1050;&#1088;&#1077;&#1076;&#1080;&#1090;&#1099;_&#1089;&#1074;&#1086;&#1076;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70;&#1085;&#1080;&#1072;&#1089;&#1090;&#1088;&#1091;&#1084;\&#1054;&#1088;&#1077;&#1085;&#1073;&#1091;&#1088;&#1075;\Documents%20and%20Settings\melnikov\Local%20Settings\Temporary%20Internet%20Files\Content.IE5\ZPS66BBC\&#1041;&#1072;&#1083;&#1072;&#1085;&#1089;%20%202004&#1075;6&#1084;&#1077;&#1089;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70;&#1085;&#1080;&#1072;&#1089;&#1090;&#1088;&#1091;&#1084;\&#1054;&#1088;&#1077;&#1085;&#1073;&#1091;&#1088;&#1075;\Documents%20and%20Settings\rozhnov\&#1056;&#1072;&#1073;&#1086;&#1095;&#1080;&#1081;%20&#1089;&#1090;&#1086;&#1083;\&#1088;&#1072;&#1089;&#1095;&#1077;&#1090;%20&#1085;&#1080;&#1082;&#1086;&#1083;&#1086;&#1103;&#1084;&#1089;&#1082;&#1072;&#1103;,%20&#1048;&#1085;&#1090;&#1077;&#1088;&#1090;&#1077;&#1089;&#1090;%20_%20&#1089;%20&#1080;&#1079;&#1084;&#1077;&#1085;&#1077;&#1085;&#1080;&#1103;&#1084;&#1080;.xlsx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&#1054;&#1094;&#1077;&#1085;&#1082;&#1072;%20&#1088;&#1072;&#1073;&#1086;&#1095;&#1072;&#1103;%20&#1087;&#1072;&#1087;&#1082;&#1072;\&#1057;&#1074;&#1077;&#1090;&#1086;&#1074;&#1099;&#1077;_&#1090;&#1077;&#1093;&#1085;&#1086;&#1083;&#1086;&#1075;&#1080;&#1080;\&#1056;&#1072;&#1089;&#1095;&#1077;&#1090;\&#1044;&#1086;&#1093;&#1086;&#1076;&#1085;&#1099;&#1081;\&#1040;&#1101;&#1088;&#1086;&#1092;&#1077;&#1088;&#1089;&#1090;\&#1056;&#1072;&#1089;&#1095;&#1077;&#1090;\&#1044;&#1086;&#1093;&#1086;&#1076;&#1085;&#1099;&#1081;\&#1052;&#1086;&#1080;%20&#1076;&#1086;&#1082;&#1091;&#1084;&#1077;&#1085;&#1090;&#1099;\&#1052;&#1040;&#1056;&#1057;\&#1084;&#1072;&#1088;&#1089;&#1080;&#1082;\&#1052;&#1086;&#1085;&#1080;&#1090;&#1086;&#1088;&#1080;&#1085;&#1075;\2004(!)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LenSpecSMU\DOCUME~1\KAFTYR~1\LOCALS~1\Temp\&#1089;&#1074;&#1086;&#1076;&#1085;&#1072;&#1103;%20&#1090;&#1072;&#1073;&#1083;.%20&#1087;&#1086;%20&#1087;&#1086;&#1089;&#1090;&#1091;&#1087;&#1083;&#1077;&#1085;&#1080;&#1103;&#1084;%2031.03.04_AZ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Appraisal\Aho\archiv\Aho_2001\&#1058;&#1080;&#1093;&#1074;&#1080;&#1085;_&#1085;&#1077;&#1076;&#1074;&#1080;&#1078;\&#1090;&#1080;&#1093;_&#1084;&#1077;&#1090;&#1072;&#1083;&#1083;_6&#1096;&#1090;\&#1079;_&#1090;&#1080;&#1093;&#1074;&#1080;&#1085;1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kfiles\Public\&#1056;&#1054;&#1057;&#1054;&#1062;&#1045;&#1053;&#1050;&#1040;\&#1076;&#1083;&#1103;%20&#1088;&#1072;&#1073;&#1086;&#1090;&#1099;%20(&#1080;&#1079;%20&#1056;&#1054;)\&#1042;&#1086;&#1079;&#1085;&#1077;&#1089;&#1077;&#1085;&#1089;&#1082;&#1080;&#1081;\&#1056;&#1072;&#1089;&#1095;&#1077;&#1090;%20(&#1042;&#1086;&#1079;&#1085;&#1077;&#1089;&#1077;&#1085;&#1082;&#1089;&#1080;&#1081;,%2019.04.2008).xlsx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ho\d\&#1052;&#1086;&#1080;%20&#1076;&#1086;&#1082;&#1091;&#1084;&#1077;&#1085;&#1090;&#1099;\Aho\Aho_2001\&#1079;&#1077;&#1083;&#1077;&#1085;&#1086;&#1075;&#1086;&#1088;&#1089;&#1082;\&#1047;_&#1073;&#1072;&#1079;&#1072;_&#1079;&#1077;&#1083;1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senia\c\&#1052;&#1086;&#1080;%20&#1076;&#1086;&#1082;&#1091;&#1084;&#1077;&#1085;&#1090;&#1099;\&#1047;&#1077;&#1084;&#1083;&#1103;%202000\&#1043;&#1088;&#1072;&#1078;&#1076;&#1072;&#1085;&#1089;&#1082;&#1080;&#1081;%2024\&#1043;&#1088;&#1072;&#1078;&#1076;&#1072;&#1085;&#1089;&#1082;&#1080;&#1081;%20&#1052;&#1077;&#1084;&#1077;&#1090;&#1086;&#1074;\&#1052;&#1086;&#1088;&#1089;&#1082;&#1086;&#1081;%20&#1092;&#1072;&#1089;&#1072;&#1076;\&#1043;&#1088;&#1072;&#1092;&#1080;&#1082;%20&#1089;&#1090;&#1088;&#1086;&#1080;&#1090;&#1077;&#1083;&#1100;&#1089;&#1090;&#1074;&#1072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im-server\&#1054;&#1073;&#1084;&#1077;&#1085;&#1085;&#1072;&#1103;\&#1061;&#1083;&#1086;&#1088;&#1085;&#1099;&#1081;\2005%20&#1075;&#1086;&#1076;\12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54;&#1090;&#1095;&#1077;&#1090;&#1099;\&#1054;&#1090;&#1076;&#1077;&#1083;&#1100;&#1085;&#1086;&#1089;&#1090;&#1086;&#1103;&#1097;&#1077;&#1077;%20&#1079;&#1076;&#1072;&#1085;&#1080;&#1077;\&#1054;&#1082;&#1090;&#1103;&#1073;&#1088;&#1100;\&#1040;&#1083;&#1083;&#1072;&#1088;&#1084;,%20&#1050;&#1091;&#1079;&#1085;&#1077;&#1094;&#1086;&#1074;&#1089;&#1082;&#1072;&#1103;\Documents%20and%20Settings\Tola\&#1052;&#1086;&#1080;%20&#1076;&#1086;&#1082;&#1091;&#1084;&#1077;&#1085;&#1090;&#1099;\&#1059;&#1095;&#1077;&#1073;&#1072;%20&#1054;&#1041;\&#1044;&#1080;&#1087;&#1083;&#1086;&#1084;\&#1047;&#1076;&#1072;&#1085;&#1080;&#1077;\&#1048;&#1079;&#1085;&#1086;&#1089;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1\&#1054;&#1073;&#1084;&#1077;&#1085;\&#1052;&#1086;&#1080;%20&#1076;&#1086;&#1082;&#1091;&#1084;&#1077;&#1085;&#1090;&#1099;\&#1041;&#1102;&#1076;&#1078;&#1077;&#1090;\&#1054;&#1090;&#1095;&#1077;&#1090;%20&#1079;&#1072;%202001%20&#1075;&#1086;&#1076;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LenSpecSMU\Invest\ZAKHAROV_A\AZ%20c%2024%20&#1092;&#1077;&#1074;&#1088;&#1072;&#1083;&#1103;%202005\02.%20&#1092;&#1080;&#1085;.&#1089;&#1083;&#1091;&#1078;&#1073;&#1099;\=&#1055;&#1051;&#1040;&#1053;=2006=(&#1080;&#1079;%20&#1089;&#1090;&#1072;&#1090;&#1080;&#1089;&#1090;&#1080;&#1082;&#1080;)\2006%20&#1084;&#1072;&#1081;\&#1055;&#1056;&#1054;&#1043;&#1053;&#1054;&#1047;%20&#1055;&#1056;&#1054;&#1044;&#1040;&#1046;%2031-05-2006+++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70;&#1085;&#1080;&#1072;&#1089;&#1090;&#1088;&#1091;&#1084;\&#1054;&#1088;&#1077;&#1085;&#1073;&#1091;&#1088;&#1075;\Documents%20and%20Settings\vladimirova\My%20Documents\&#1047;&#1072;&#1074;&#1086;&#1083;&#1078;&#1089;&#1082;\&#1088;&#1072;&#1089;&#1095;&#1077;&#1090;&#1099;%2025.09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Appraisal\&#1054;&#1094;&#1077;&#1085;&#1082;&#1080;\&#1043;&#1059;&#1048;&#1054;&#1053;\&#1050;&#1086;&#1083;&#1087;&#1080;&#1085;&#1086;_&#1090;&#1086;&#1088;&#1075;&#1086;&#1074;&#1083;&#1103;\&#1079;_&#1082;&#1086;&#1083;&#1087;_&#1091;&#1085;&#1080;&#1074;&#1077;&#1088;&#1089;_02_&#1057;&#1084;&#1086;&#1088;&#1075;&#1086;&#1085;&#1089;&#1082;&#1080;&#1081;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ata\&#1054;&#1094;&#1077;&#1085;&#1082;&#1072;\&#1053;&#1077;&#1076;&#1074;&#1080;&#1078;&#1080;&#1084;&#1086;&#1089;&#1090;&#1100;\&#1053;-310-06%20&#1075;&#1086;&#1089;&#1090;&#1080;&#1085;&#1080;&#1094;&#1072;%20&#1064;&#1077;&#1088;&#1088;&#1080;&#1079;&#1086;&#1085;%2010.2006\02%20&#1056;&#1040;&#1057;&#1063;&#1045;&#1058;\&#1056;&#1072;&#1089;&#1095;&#1077;&#1090;%20&#1075;&#1086;&#1089;&#1090;&#1080;&#1085;&#1080;&#1094;&#1072;%2010.06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in.bank\Rostbank\&#1040;&#1091;&#1076;&#1080;&#1090;-&#1056;&#1054;&#1057;&#1058;\&#1056;&#1054;&#1057;&#1058;_&#1090;&#1088;&#1072;&#1085;&#1089;&#1092;&#1086;&#1088;&#1084;&#1072;&#1094;&#1080;&#1103;\2017_4&#1082;&#1074;\&#1055;&#1088;&#1080;&#1083;_63_&#1096;&#1072;&#1073;&#1083;&#1086;&#1085;.xlsx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70;&#1085;&#1080;&#1072;&#1089;&#1090;&#1088;&#1091;&#1084;\&#1054;&#1088;&#1077;&#1085;&#1073;&#1091;&#1088;&#1075;\Work\&#1054;&#1094;&#1077;&#1085;&#1082;&#1072;%202008\&#1057;&#1074;&#1103;&#1079;&#1100;&#1089;&#1090;&#1088;&#1086;&#1081;\&#1052;&#1043;&#1057;&#1057;_&#1052;&#1054;_&#1053;&#1072;&#1076;&#1077;&#1078;&#1076;&#1072;\&#1056;&#1072;&#1089;&#1095;&#1077;&#1090;&#1099;\&#1044;&#1083;&#1103;_&#1088;&#1072;&#1089;&#1095;&#1077;&#1090;&#1072;\&#1054;&#1087;&#1088;&#1086;&#1089;&#1085;&#1080;&#1082;%20&#1047;&#1040;&#1054;%20&#1052;&#1043;&#1057;&#1057;%20(&#1085;&#1072;%201.03.08&#1075;)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asc2004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~1\BITJUT~1\LOCALS~1\Temp\&#1073;&#1102;&#1076;&#1078;&#1077;&#1090;-&#1089;&#1084;&#1086;&#1083;&#1100;&#1085;&#1099;&#1081;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О_мес"/>
      <sheetName val="ЗАО_н.ит"/>
      <sheetName val="ПО_мес"/>
      <sheetName val="ПО_н.ит"/>
      <sheetName val="ВО_мес"/>
      <sheetName val="ВО_н.ит"/>
      <sheetName val="ВД_мес"/>
      <sheetName val="ВД_н.ит"/>
      <sheetName val="ПТ_мес"/>
      <sheetName val="ПТ_н.ит"/>
      <sheetName val="РТК_мес"/>
      <sheetName val="РТК_н.ит"/>
      <sheetName val="КН_мес"/>
      <sheetName val="КН_н.ит"/>
      <sheetName val="ТН_мес"/>
      <sheetName val="ТН_н.ит"/>
      <sheetName val="МК_мес"/>
      <sheetName val="МК_н.ит"/>
      <sheetName val="ВНГК_мес"/>
      <sheetName val="ВНГК_н.ит"/>
      <sheetName val="ВНГ_мес"/>
      <sheetName val="ВНГ_н.ит"/>
      <sheetName val="Лист2"/>
      <sheetName val="Служебный"/>
      <sheetName val="Баланс (Ф1)"/>
      <sheetName val="ЗАО_н_ит"/>
      <sheetName val="Main"/>
      <sheetName val="Journals"/>
      <sheetName val="Сдача "/>
      <sheetName val="П"/>
      <sheetName val="карточка"/>
      <sheetName val="затраты"/>
      <sheetName val="FES"/>
      <sheetName val="Закуп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внутр. оценка"/>
      <sheetName val="коэф.анализ"/>
      <sheetName val="Модуль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редит (2)"/>
      <sheetName val="Кредит"/>
      <sheetName val="Анализ инвест"/>
      <sheetName val="Лист3"/>
    </sheetNames>
    <sheetDataSet>
      <sheetData sheetId="0" refreshError="1"/>
      <sheetData sheetId="1">
        <row r="6">
          <cell r="A6">
            <v>10000</v>
          </cell>
          <cell r="D6">
            <v>0.12</v>
          </cell>
          <cell r="E6">
            <v>0</v>
          </cell>
        </row>
      </sheetData>
      <sheetData sheetId="2" refreshError="1"/>
      <sheetData sheetId="3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"/>
      <sheetName val="восст"/>
      <sheetName val="износ"/>
      <sheetName val="рын"/>
    </sheetNames>
    <sheetDataSet>
      <sheetData sheetId="0" refreshError="1"/>
      <sheetData sheetId="1">
        <row r="1">
          <cell r="B1" t="str">
            <v>Инвентарный номер</v>
          </cell>
          <cell r="C1" t="str">
            <v>Наименование</v>
          </cell>
          <cell r="D1" t="str">
            <v>Дата ввода в эксплуатацию</v>
          </cell>
          <cell r="E1" t="str">
            <v>Остаточная балансовая стоимость, руб.</v>
          </cell>
          <cell r="F1" t="str">
            <v>Количество, ед.</v>
          </cell>
          <cell r="G1" t="str">
            <v>Аналог</v>
          </cell>
          <cell r="H1" t="str">
            <v>Стоимость по прайс-листам, руб. без НДС</v>
          </cell>
          <cell r="I1" t="str">
            <v>Корректировка</v>
          </cell>
          <cell r="J1" t="str">
            <v>Стоимость воспроизводства (замещения), руб.</v>
          </cell>
        </row>
        <row r="2">
          <cell r="B2" t="str">
            <v>ООС-0104-000004</v>
          </cell>
          <cell r="C2" t="str">
            <v>Кондиционер Toshiba</v>
          </cell>
          <cell r="D2">
            <v>35803</v>
          </cell>
          <cell r="E2">
            <v>8901.09</v>
          </cell>
          <cell r="F2">
            <v>1</v>
          </cell>
          <cell r="G2" t="str">
            <v>Кондиционеры Toshiba среднего класса RAC-18 EH-E</v>
          </cell>
          <cell r="H2">
            <v>21164</v>
          </cell>
          <cell r="I2">
            <v>1</v>
          </cell>
          <cell r="J2">
            <v>21164</v>
          </cell>
        </row>
        <row r="3">
          <cell r="B3" t="str">
            <v>ООС-0104-000005</v>
          </cell>
          <cell r="C3" t="str">
            <v>Люлька строительная</v>
          </cell>
          <cell r="D3">
            <v>35921</v>
          </cell>
          <cell r="E3">
            <v>0</v>
          </cell>
          <cell r="F3">
            <v>1</v>
          </cell>
          <cell r="G3" t="str">
            <v xml:space="preserve">Люлька строительная ЛЭ150-300 </v>
          </cell>
          <cell r="H3">
            <v>169153</v>
          </cell>
          <cell r="I3">
            <v>1</v>
          </cell>
          <cell r="J3">
            <v>169153</v>
          </cell>
        </row>
        <row r="4">
          <cell r="B4" t="str">
            <v>ООС-0104-000006</v>
          </cell>
          <cell r="C4" t="str">
            <v>Кондиционер Hitachi 09</v>
          </cell>
          <cell r="D4">
            <v>36010</v>
          </cell>
          <cell r="E4">
            <v>0</v>
          </cell>
          <cell r="F4">
            <v>1</v>
          </cell>
          <cell r="G4" t="str">
            <v xml:space="preserve">Кондиционеры Hitachi RAS-09CH </v>
          </cell>
          <cell r="H4">
            <v>23246</v>
          </cell>
          <cell r="I4">
            <v>1</v>
          </cell>
          <cell r="J4">
            <v>23246</v>
          </cell>
        </row>
        <row r="5">
          <cell r="B5" t="str">
            <v>ООС-0104-000007</v>
          </cell>
          <cell r="C5" t="str">
            <v>Кондиционер Hitachi 09</v>
          </cell>
          <cell r="D5">
            <v>36010</v>
          </cell>
          <cell r="E5">
            <v>0</v>
          </cell>
          <cell r="F5">
            <v>1</v>
          </cell>
          <cell r="G5" t="str">
            <v xml:space="preserve">Кондиционеры Hitachi RAS-09CH </v>
          </cell>
          <cell r="H5">
            <v>23246</v>
          </cell>
          <cell r="I5">
            <v>1</v>
          </cell>
          <cell r="J5">
            <v>23246</v>
          </cell>
        </row>
        <row r="6">
          <cell r="B6" t="str">
            <v>ООС-0104-000008</v>
          </cell>
          <cell r="C6" t="str">
            <v>Кондиционер Hitachi 09</v>
          </cell>
          <cell r="D6">
            <v>36010</v>
          </cell>
          <cell r="E6">
            <v>0</v>
          </cell>
          <cell r="F6">
            <v>1</v>
          </cell>
          <cell r="G6" t="str">
            <v xml:space="preserve">Кондиционеры Hitachi RAS-09CH </v>
          </cell>
          <cell r="H6">
            <v>23246</v>
          </cell>
          <cell r="I6">
            <v>1</v>
          </cell>
          <cell r="J6">
            <v>23246</v>
          </cell>
        </row>
        <row r="7">
          <cell r="B7" t="str">
            <v>ООС-0104-000009</v>
          </cell>
          <cell r="C7" t="str">
            <v>Кондиционер Hitashi 5142</v>
          </cell>
          <cell r="D7">
            <v>36010</v>
          </cell>
          <cell r="E7">
            <v>3098.86</v>
          </cell>
          <cell r="F7">
            <v>1</v>
          </cell>
          <cell r="G7" t="str">
            <v xml:space="preserve">HITACHI RAS/RAC-5142CН </v>
          </cell>
          <cell r="H7">
            <v>23186</v>
          </cell>
          <cell r="I7">
            <v>1</v>
          </cell>
          <cell r="J7">
            <v>23186</v>
          </cell>
        </row>
        <row r="8">
          <cell r="B8" t="str">
            <v>ООС-0104-000010</v>
          </cell>
          <cell r="C8" t="str">
            <v>Оборуд. Для пров. Конф.</v>
          </cell>
          <cell r="D8">
            <v>36013</v>
          </cell>
          <cell r="E8">
            <v>381749.66</v>
          </cell>
          <cell r="F8">
            <v>1</v>
          </cell>
          <cell r="G8" t="str">
            <v>Проектор ASK Proxima C450 
 и Экран Projecta FastFold 396х518см (DA-MAT)</v>
          </cell>
          <cell r="H8">
            <v>320874</v>
          </cell>
          <cell r="I8">
            <v>1</v>
          </cell>
          <cell r="J8">
            <v>320874</v>
          </cell>
        </row>
        <row r="9">
          <cell r="B9" t="str">
            <v>ООС-0104-000011</v>
          </cell>
          <cell r="C9" t="str">
            <v>Сис. Селек. Связи</v>
          </cell>
          <cell r="D9">
            <v>36013</v>
          </cell>
          <cell r="E9">
            <v>371171.05</v>
          </cell>
          <cell r="F9">
            <v>1</v>
          </cell>
          <cell r="G9" t="str">
            <v xml:space="preserve">Радиотелефонная станция РТ-300 
</v>
          </cell>
          <cell r="H9">
            <v>293220</v>
          </cell>
          <cell r="I9">
            <v>1</v>
          </cell>
          <cell r="J9">
            <v>293220</v>
          </cell>
        </row>
        <row r="10">
          <cell r="B10" t="str">
            <v>ООС-0104-000013</v>
          </cell>
          <cell r="C10" t="str">
            <v>Тепловая установка</v>
          </cell>
          <cell r="D10">
            <v>36101</v>
          </cell>
          <cell r="E10">
            <v>37192.46</v>
          </cell>
          <cell r="F10">
            <v>1</v>
          </cell>
          <cell r="G10" t="str">
            <v>ТРОПИК ЗЭТ-18-ДУ Высокопроизводительная завеса для вертикальной / горизонтальной установки</v>
          </cell>
          <cell r="H10">
            <v>25397</v>
          </cell>
          <cell r="I10">
            <v>1</v>
          </cell>
          <cell r="J10">
            <v>25397</v>
          </cell>
        </row>
        <row r="11">
          <cell r="B11" t="str">
            <v>ООС-0104-000094</v>
          </cell>
          <cell r="C11" t="str">
            <v>Зарядное устройство</v>
          </cell>
          <cell r="D11">
            <v>36255</v>
          </cell>
          <cell r="E11">
            <v>5707.31</v>
          </cell>
          <cell r="F11">
            <v>1</v>
          </cell>
          <cell r="G11" t="str">
            <v>Зарядное устройство Canon BCA-CP100</v>
          </cell>
          <cell r="H11">
            <v>3504</v>
          </cell>
          <cell r="I11">
            <v>1</v>
          </cell>
          <cell r="J11">
            <v>3504</v>
          </cell>
        </row>
        <row r="12">
          <cell r="B12" t="str">
            <v>ООС-0104-000095</v>
          </cell>
          <cell r="C12" t="str">
            <v>Зарядное устройство</v>
          </cell>
          <cell r="D12">
            <v>36255</v>
          </cell>
          <cell r="E12">
            <v>5707.31</v>
          </cell>
          <cell r="F12">
            <v>1</v>
          </cell>
          <cell r="G12" t="str">
            <v>Зарядное устройство Canon BCA-CP100</v>
          </cell>
          <cell r="H12">
            <v>3504</v>
          </cell>
          <cell r="I12">
            <v>1</v>
          </cell>
          <cell r="J12">
            <v>3504</v>
          </cell>
        </row>
        <row r="13">
          <cell r="B13" t="str">
            <v>ООС-0104-000096</v>
          </cell>
          <cell r="C13" t="str">
            <v>Зарядное устройство</v>
          </cell>
          <cell r="D13">
            <v>36255</v>
          </cell>
          <cell r="E13">
            <v>5707.31</v>
          </cell>
          <cell r="F13">
            <v>1</v>
          </cell>
          <cell r="G13" t="str">
            <v>Зарядное устройство Canon BCA-CP100</v>
          </cell>
          <cell r="H13">
            <v>3504</v>
          </cell>
          <cell r="I13">
            <v>1</v>
          </cell>
          <cell r="J13">
            <v>3504</v>
          </cell>
        </row>
        <row r="14">
          <cell r="B14" t="str">
            <v>ООС-0104-000097</v>
          </cell>
          <cell r="C14" t="str">
            <v>Зарядное устройство</v>
          </cell>
          <cell r="D14">
            <v>36255</v>
          </cell>
          <cell r="E14">
            <v>5707.31</v>
          </cell>
          <cell r="F14">
            <v>1</v>
          </cell>
          <cell r="G14" t="str">
            <v>Зарядное устройство Canon BCA-CP100</v>
          </cell>
          <cell r="H14">
            <v>3504</v>
          </cell>
          <cell r="I14">
            <v>1</v>
          </cell>
          <cell r="J14">
            <v>3504</v>
          </cell>
        </row>
        <row r="15">
          <cell r="B15" t="str">
            <v>ООС-0104-000098</v>
          </cell>
          <cell r="C15" t="str">
            <v>Зарядное устройство</v>
          </cell>
          <cell r="D15">
            <v>36255</v>
          </cell>
          <cell r="E15">
            <v>5707.31</v>
          </cell>
          <cell r="F15">
            <v>1</v>
          </cell>
          <cell r="G15" t="str">
            <v>Зарядное устройство Canon BCA-CP100</v>
          </cell>
          <cell r="H15">
            <v>3504</v>
          </cell>
          <cell r="I15">
            <v>1</v>
          </cell>
          <cell r="J15">
            <v>3504</v>
          </cell>
        </row>
        <row r="16">
          <cell r="B16" t="str">
            <v>ООС-0104-000106</v>
          </cell>
          <cell r="C16" t="str">
            <v>Принтер HPLj2100</v>
          </cell>
          <cell r="D16">
            <v>36374</v>
          </cell>
          <cell r="E16">
            <v>4706.17</v>
          </cell>
          <cell r="F16">
            <v>1</v>
          </cell>
          <cell r="G16" t="str">
            <v>Принтер лазерный HP LJ 2100</v>
          </cell>
          <cell r="H16">
            <v>20339</v>
          </cell>
          <cell r="I16">
            <v>1</v>
          </cell>
          <cell r="J16">
            <v>20339</v>
          </cell>
        </row>
        <row r="17">
          <cell r="B17" t="str">
            <v>ООС-0104-000137</v>
          </cell>
          <cell r="C17" t="str">
            <v>Системный блок Vei8</v>
          </cell>
          <cell r="D17">
            <v>35885</v>
          </cell>
          <cell r="E17">
            <v>0</v>
          </cell>
          <cell r="F17">
            <v>1</v>
          </cell>
          <cell r="G17" t="str">
            <v>Vectra VEi8</v>
          </cell>
          <cell r="H17">
            <v>24009</v>
          </cell>
          <cell r="I17">
            <v>1</v>
          </cell>
          <cell r="J17">
            <v>24009</v>
          </cell>
        </row>
        <row r="18">
          <cell r="B18" t="str">
            <v>ООС-0104-000145</v>
          </cell>
          <cell r="C18" t="str">
            <v>Коппир. Апп. Ricon5832</v>
          </cell>
          <cell r="D18">
            <v>35937</v>
          </cell>
          <cell r="E18">
            <v>3515.82</v>
          </cell>
          <cell r="F18">
            <v>1</v>
          </cell>
          <cell r="G18" t="str">
            <v>Копир Ricon-FT2260 A3/A4,18 копий/мин.</v>
          </cell>
          <cell r="H18">
            <v>8231</v>
          </cell>
          <cell r="I18">
            <v>1</v>
          </cell>
          <cell r="J18">
            <v>8231</v>
          </cell>
        </row>
        <row r="19">
          <cell r="B19" t="str">
            <v>ООС-0104-000150</v>
          </cell>
          <cell r="C19" t="str">
            <v>Монитор VP140</v>
          </cell>
          <cell r="D19">
            <v>35957</v>
          </cell>
          <cell r="E19">
            <v>1068.05</v>
          </cell>
          <cell r="F19">
            <v>1</v>
          </cell>
          <cell r="G19" t="str">
            <v xml:space="preserve">ViewSonic VP 140 TCO'99 </v>
          </cell>
          <cell r="H19">
            <v>6114</v>
          </cell>
          <cell r="I19">
            <v>1</v>
          </cell>
          <cell r="J19">
            <v>6114</v>
          </cell>
        </row>
        <row r="20">
          <cell r="B20" t="str">
            <v>ООС-0104-000152</v>
          </cell>
          <cell r="C20" t="str">
            <v>Монитор HPD8897</v>
          </cell>
          <cell r="D20">
            <v>35969</v>
          </cell>
          <cell r="E20">
            <v>1771.68</v>
          </cell>
          <cell r="F20">
            <v>1</v>
          </cell>
          <cell r="G20" t="str">
            <v>HPD8901A</v>
          </cell>
          <cell r="H20">
            <v>5808</v>
          </cell>
          <cell r="I20">
            <v>1</v>
          </cell>
          <cell r="J20">
            <v>5808</v>
          </cell>
        </row>
        <row r="21">
          <cell r="B21" t="str">
            <v>ООС-0104-000155</v>
          </cell>
          <cell r="C21" t="str">
            <v>Коппир. Апп.Xerox5437</v>
          </cell>
          <cell r="D21">
            <v>36000</v>
          </cell>
          <cell r="E21">
            <v>6717.52</v>
          </cell>
          <cell r="F21">
            <v>1</v>
          </cell>
          <cell r="G21" t="str">
            <v>Копир-принтер-сканер Xerox WorkCentre PE16e</v>
          </cell>
          <cell r="H21">
            <v>7415</v>
          </cell>
          <cell r="I21">
            <v>1</v>
          </cell>
          <cell r="J21">
            <v>7415</v>
          </cell>
        </row>
        <row r="22">
          <cell r="B22" t="str">
            <v>ООС-0104-000170</v>
          </cell>
          <cell r="C22" t="str">
            <v>Экран 274*366 спультом</v>
          </cell>
          <cell r="D22">
            <v>36566</v>
          </cell>
          <cell r="E22">
            <v>30635.84</v>
          </cell>
          <cell r="F22">
            <v>1</v>
          </cell>
          <cell r="G22" t="str">
            <v xml:space="preserve">Экран настенный ProScreen GB 206 х 274 (120") бисерный с электроприводом </v>
          </cell>
          <cell r="H22">
            <v>15614</v>
          </cell>
          <cell r="I22">
            <v>1</v>
          </cell>
          <cell r="J22">
            <v>15614</v>
          </cell>
        </row>
        <row r="23">
          <cell r="B23" t="str">
            <v>ООС-0104-000226</v>
          </cell>
          <cell r="C23" t="str">
            <v>Копп. Апп.Rex-rotaru8715Z</v>
          </cell>
          <cell r="D23">
            <v>36699</v>
          </cell>
          <cell r="E23">
            <v>9474.7800000000007</v>
          </cell>
          <cell r="F23">
            <v>1</v>
          </cell>
          <cell r="G23" t="str">
            <v>Rex Rotary 8612</v>
          </cell>
          <cell r="H23">
            <v>15820</v>
          </cell>
          <cell r="I23">
            <v>1</v>
          </cell>
          <cell r="J23">
            <v>15820</v>
          </cell>
        </row>
        <row r="24">
          <cell r="B24" t="str">
            <v>ООС-0104-000460</v>
          </cell>
          <cell r="C24" t="str">
            <v>Panasonic KT-ST15</v>
          </cell>
          <cell r="D24">
            <v>37165</v>
          </cell>
          <cell r="E24">
            <v>0</v>
          </cell>
          <cell r="F24">
            <v>1</v>
          </cell>
          <cell r="G24" t="str">
            <v xml:space="preserve">Panasonic KT-TS2365 телефон </v>
          </cell>
          <cell r="H24">
            <v>1014</v>
          </cell>
          <cell r="I24">
            <v>1</v>
          </cell>
          <cell r="J24">
            <v>1014</v>
          </cell>
        </row>
        <row r="25">
          <cell r="B25" t="str">
            <v>ООС-0104-000461</v>
          </cell>
          <cell r="C25" t="str">
            <v>Panasonic KT-ST15</v>
          </cell>
          <cell r="D25">
            <v>37165</v>
          </cell>
          <cell r="E25">
            <v>0</v>
          </cell>
          <cell r="F25">
            <v>1</v>
          </cell>
          <cell r="G25" t="str">
            <v xml:space="preserve">Panasonic KT-TS2365 телефон </v>
          </cell>
          <cell r="H25">
            <v>1014</v>
          </cell>
          <cell r="I25">
            <v>1</v>
          </cell>
          <cell r="J25">
            <v>1014</v>
          </cell>
        </row>
        <row r="26">
          <cell r="B26" t="str">
            <v>ООС-0104-000547</v>
          </cell>
          <cell r="C26" t="str">
            <v>Факс Xerox 7041</v>
          </cell>
          <cell r="D26">
            <v>37316</v>
          </cell>
          <cell r="E26">
            <v>9253.3700000000008</v>
          </cell>
          <cell r="F26">
            <v>1</v>
          </cell>
          <cell r="G26" t="str">
            <v xml:space="preserve">Факс сервер XEROX 425/432/440 </v>
          </cell>
          <cell r="H26">
            <v>6151</v>
          </cell>
          <cell r="I26">
            <v>1</v>
          </cell>
          <cell r="J26">
            <v>6151</v>
          </cell>
        </row>
        <row r="27">
          <cell r="B27" t="str">
            <v>ООС-0104-000558</v>
          </cell>
          <cell r="C27" t="str">
            <v>Факс MB8145</v>
          </cell>
          <cell r="D27">
            <v>37316</v>
          </cell>
          <cell r="E27">
            <v>72801.289999999994</v>
          </cell>
          <cell r="F27">
            <v>1</v>
          </cell>
          <cell r="G27" t="str">
            <v>MB 8145MOD</v>
          </cell>
          <cell r="H27">
            <v>149153</v>
          </cell>
          <cell r="I27">
            <v>1</v>
          </cell>
          <cell r="J27">
            <v>149153</v>
          </cell>
        </row>
        <row r="28">
          <cell r="B28" t="str">
            <v>ООС-0104-000559</v>
          </cell>
          <cell r="C28" t="str">
            <v>Ноутбук Satellite2805-S301</v>
          </cell>
          <cell r="D28">
            <v>37316</v>
          </cell>
          <cell r="E28">
            <v>16702.599999999999</v>
          </cell>
          <cell r="F28">
            <v>1</v>
          </cell>
          <cell r="G28" t="str">
            <v xml:space="preserve">Ноутбук Toshiba Satellite 2805-S301 </v>
          </cell>
          <cell r="H28">
            <v>12228</v>
          </cell>
          <cell r="I28">
            <v>1</v>
          </cell>
          <cell r="J28">
            <v>12228</v>
          </cell>
        </row>
        <row r="29">
          <cell r="B29" t="str">
            <v>ООС-0104-000560</v>
          </cell>
          <cell r="C29" t="str">
            <v>Ноутбук Satellite2100СDT</v>
          </cell>
          <cell r="D29">
            <v>37316</v>
          </cell>
          <cell r="E29">
            <v>16702.599999999999</v>
          </cell>
          <cell r="F29">
            <v>1</v>
          </cell>
          <cell r="G29" t="str">
            <v xml:space="preserve">Ноутбук Toshiba Satellite 2100CDT </v>
          </cell>
          <cell r="H29">
            <v>32099</v>
          </cell>
          <cell r="I29">
            <v>1</v>
          </cell>
          <cell r="J29">
            <v>32099</v>
          </cell>
        </row>
        <row r="30">
          <cell r="B30" t="str">
            <v>ООС-0104-000563</v>
          </cell>
          <cell r="C30" t="str">
            <v>Сис. Блок VL420</v>
          </cell>
          <cell r="D30">
            <v>37316</v>
          </cell>
          <cell r="E30">
            <v>11491.04</v>
          </cell>
          <cell r="F30">
            <v>1</v>
          </cell>
          <cell r="G30" t="str">
            <v>Pentium 4/1700 MHz/256 Mb/40000 Mb/SVGA Hewlett-Packard Vectra VL420 MT P4-1.7 40GB 256MB i845 NVidiaGF2 32MB DVD (P5768A</v>
          </cell>
          <cell r="H30">
            <v>25374</v>
          </cell>
          <cell r="I30">
            <v>1</v>
          </cell>
          <cell r="J30">
            <v>25374</v>
          </cell>
        </row>
        <row r="31">
          <cell r="B31" t="str">
            <v>ООС-0104-000571</v>
          </cell>
          <cell r="C31" t="str">
            <v>Телекоммуникац. Оборуд.</v>
          </cell>
          <cell r="D31">
            <v>37316</v>
          </cell>
          <cell r="E31">
            <v>2935783.57</v>
          </cell>
          <cell r="F31">
            <v>1</v>
          </cell>
          <cell r="G31" t="str">
            <v xml:space="preserve"> Телекоммуникационное оборудование Hirshman: Single port 10 Gig Ethernet Module with 1550nm LAN optics SMF and SC connector</v>
          </cell>
          <cell r="H31">
            <v>3716392</v>
          </cell>
          <cell r="I31">
            <v>1</v>
          </cell>
          <cell r="J31">
            <v>3716392</v>
          </cell>
        </row>
        <row r="32">
          <cell r="B32" t="str">
            <v>ООС-0104-000656</v>
          </cell>
          <cell r="C32" t="str">
            <v>Принтер HP Laser1100</v>
          </cell>
          <cell r="D32">
            <v>37622</v>
          </cell>
          <cell r="E32">
            <v>9627.73</v>
          </cell>
          <cell r="F32">
            <v>2</v>
          </cell>
          <cell r="G32" t="str">
            <v xml:space="preserve">Принтер HP LaserJet 1100 (C4224A) 8 стр/ мин </v>
          </cell>
          <cell r="H32">
            <v>8653</v>
          </cell>
          <cell r="I32">
            <v>1</v>
          </cell>
          <cell r="J32">
            <v>17306</v>
          </cell>
        </row>
        <row r="33">
          <cell r="B33" t="str">
            <v>ООС-0104-000658</v>
          </cell>
          <cell r="C33" t="str">
            <v>Сис. Блок Brio</v>
          </cell>
          <cell r="D33">
            <v>37622</v>
          </cell>
          <cell r="E33">
            <v>11122.23</v>
          </cell>
          <cell r="F33">
            <v>1</v>
          </cell>
          <cell r="G33" t="str">
            <v>Hewlett-Packard (HP) P1711A Системный блок HP Brio BA 410 P1711A P3-733 64MB 10GB CD-48x W98Engl</v>
          </cell>
          <cell r="H33">
            <v>5879</v>
          </cell>
          <cell r="I33">
            <v>1</v>
          </cell>
          <cell r="J33">
            <v>5879</v>
          </cell>
        </row>
        <row r="34">
          <cell r="B34" t="str">
            <v>ООС-0104-000659</v>
          </cell>
          <cell r="C34" t="str">
            <v>Сис. Блок Brio</v>
          </cell>
          <cell r="D34">
            <v>37622</v>
          </cell>
          <cell r="E34">
            <v>11122.23</v>
          </cell>
          <cell r="F34">
            <v>1</v>
          </cell>
          <cell r="G34" t="str">
            <v>Hewlett-Packard (HP) P1711A Системный блок HP Brio BA 410 P1711A P3-733 64MB 10GB CD-48x W98Engl</v>
          </cell>
          <cell r="H34">
            <v>5879</v>
          </cell>
          <cell r="I34">
            <v>1</v>
          </cell>
          <cell r="J34">
            <v>5879</v>
          </cell>
        </row>
        <row r="35">
          <cell r="B35" t="str">
            <v>ООС-0104-000660</v>
          </cell>
          <cell r="C35" t="str">
            <v>Сис. Блок Brio</v>
          </cell>
          <cell r="D35">
            <v>37622</v>
          </cell>
          <cell r="E35">
            <v>11122.42</v>
          </cell>
          <cell r="F35">
            <v>1</v>
          </cell>
          <cell r="G35" t="str">
            <v>Hewlett-Packard (HP) P1711A Системный блок HP Brio BA 410 P1711A P3-733 64MB 10GB CD-48x W98Engl</v>
          </cell>
          <cell r="H35">
            <v>5879</v>
          </cell>
          <cell r="I35">
            <v>1</v>
          </cell>
          <cell r="J35">
            <v>5879</v>
          </cell>
        </row>
        <row r="36">
          <cell r="B36" t="str">
            <v>ООС-0104-000661</v>
          </cell>
          <cell r="C36" t="str">
            <v>Сис. Блок Brio</v>
          </cell>
          <cell r="D36">
            <v>37622</v>
          </cell>
          <cell r="E36">
            <v>11122.22</v>
          </cell>
          <cell r="F36">
            <v>5</v>
          </cell>
          <cell r="G36" t="str">
            <v>Hewlett-Packard (HP) P1711A Системный блок HP Brio BA 410 P1711A P3-733 64MB 10GB CD-48x W98Engl</v>
          </cell>
          <cell r="H36">
            <v>5879</v>
          </cell>
          <cell r="I36">
            <v>1</v>
          </cell>
          <cell r="J36">
            <v>29395</v>
          </cell>
        </row>
        <row r="37">
          <cell r="B37" t="str">
            <v>ООС-0104-000662</v>
          </cell>
          <cell r="C37" t="str">
            <v>Кондиционер Samsung</v>
          </cell>
          <cell r="D37">
            <v>37622</v>
          </cell>
          <cell r="E37">
            <v>22023.37</v>
          </cell>
          <cell r="F37">
            <v>1</v>
          </cell>
          <cell r="G37" t="str">
            <v xml:space="preserve">Кондиционеры сплит-системы Samsung модель SH30ZC2 </v>
          </cell>
          <cell r="H37">
            <v>26338</v>
          </cell>
          <cell r="I37">
            <v>1</v>
          </cell>
          <cell r="J37">
            <v>26338</v>
          </cell>
        </row>
        <row r="38">
          <cell r="B38" t="str">
            <v>ООС-0104-000663</v>
          </cell>
          <cell r="C38" t="str">
            <v>Кондиционер Samsung</v>
          </cell>
          <cell r="D38">
            <v>37622</v>
          </cell>
          <cell r="E38">
            <v>22023.37</v>
          </cell>
          <cell r="F38">
            <v>2</v>
          </cell>
          <cell r="G38" t="str">
            <v xml:space="preserve">Кондиционеры сплит-системы Samsung модель SH30ZC2 </v>
          </cell>
          <cell r="H38">
            <v>26338</v>
          </cell>
          <cell r="I38">
            <v>1</v>
          </cell>
          <cell r="J38">
            <v>52676</v>
          </cell>
        </row>
        <row r="39">
          <cell r="B39" t="str">
            <v>ООС-0104-000664</v>
          </cell>
          <cell r="C39" t="str">
            <v>Кондиционер Samsung</v>
          </cell>
          <cell r="D39">
            <v>37622</v>
          </cell>
          <cell r="E39">
            <v>28876.6</v>
          </cell>
          <cell r="F39">
            <v>1</v>
          </cell>
          <cell r="G39" t="str">
            <v>Кондиционеры SAMSUNG ADH3200E</v>
          </cell>
          <cell r="H39">
            <v>33458</v>
          </cell>
          <cell r="I39">
            <v>1</v>
          </cell>
          <cell r="J39">
            <v>33458</v>
          </cell>
        </row>
        <row r="40">
          <cell r="B40" t="str">
            <v>ООС-0104-000665</v>
          </cell>
          <cell r="C40" t="str">
            <v>Кондиционер Samsung</v>
          </cell>
          <cell r="D40">
            <v>37622</v>
          </cell>
          <cell r="E40">
            <v>39236.21</v>
          </cell>
          <cell r="F40">
            <v>1</v>
          </cell>
          <cell r="G40" t="str">
            <v>Кондиционеры SAMSUNG ADH3200E</v>
          </cell>
          <cell r="H40">
            <v>33458</v>
          </cell>
          <cell r="I40">
            <v>1</v>
          </cell>
          <cell r="J40">
            <v>33458</v>
          </cell>
        </row>
        <row r="41">
          <cell r="B41" t="str">
            <v>ООС-0104-000666</v>
          </cell>
          <cell r="C41" t="str">
            <v>Кондиционер PX 800RC</v>
          </cell>
          <cell r="D41">
            <v>37622</v>
          </cell>
          <cell r="E41">
            <v>38279.9</v>
          </cell>
          <cell r="F41">
            <v>2</v>
          </cell>
          <cell r="G41" t="str">
            <v>Кондиционеры SAMSUNG ADH3200E</v>
          </cell>
          <cell r="H41">
            <v>33458</v>
          </cell>
          <cell r="I41">
            <v>1</v>
          </cell>
          <cell r="J41">
            <v>66916</v>
          </cell>
        </row>
        <row r="42">
          <cell r="B42" t="str">
            <v>ООС-0104-000680</v>
          </cell>
          <cell r="C42" t="str">
            <v>Копп. Апп. MB5651</v>
          </cell>
          <cell r="D42">
            <v>37681</v>
          </cell>
          <cell r="E42">
            <v>27430.04</v>
          </cell>
          <cell r="F42">
            <v>1</v>
          </cell>
          <cell r="G42" t="str">
            <v xml:space="preserve">КОПИР MB 5815 </v>
          </cell>
          <cell r="H42">
            <v>28807</v>
          </cell>
          <cell r="I42">
            <v>1</v>
          </cell>
          <cell r="J42">
            <v>28807</v>
          </cell>
        </row>
        <row r="43">
          <cell r="B43" t="str">
            <v>ООС-0104-000687</v>
          </cell>
          <cell r="C43" t="str">
            <v>Сис. Блок HP Ve5</v>
          </cell>
          <cell r="D43">
            <v>37622</v>
          </cell>
          <cell r="E43">
            <v>6565.25</v>
          </cell>
          <cell r="F43">
            <v>1</v>
          </cell>
          <cell r="G43" t="str">
            <v xml:space="preserve">HP Vectra VEi7 DT C466-32M4.3G/S95      HPD8126A </v>
          </cell>
          <cell r="H43">
            <v>16955</v>
          </cell>
          <cell r="I43">
            <v>1</v>
          </cell>
          <cell r="J43">
            <v>16955</v>
          </cell>
        </row>
        <row r="44">
          <cell r="B44" t="str">
            <v>ООС-0104-000688</v>
          </cell>
          <cell r="C44" t="str">
            <v>Сис. Блок HP Ve5D5602</v>
          </cell>
          <cell r="D44">
            <v>37622</v>
          </cell>
          <cell r="E44">
            <v>5656.77</v>
          </cell>
          <cell r="F44">
            <v>1</v>
          </cell>
          <cell r="G44" t="str">
            <v xml:space="preserve">HP Vectra VEi7 DT C466-32M4.3G/S95      HPD8126A </v>
          </cell>
          <cell r="H44">
            <v>16955</v>
          </cell>
          <cell r="I44">
            <v>1</v>
          </cell>
          <cell r="J44">
            <v>16955</v>
          </cell>
        </row>
        <row r="45">
          <cell r="B45" t="str">
            <v>ООС-0104-000689</v>
          </cell>
          <cell r="C45" t="str">
            <v>Сис. Блок HP Vei8</v>
          </cell>
          <cell r="D45">
            <v>37622</v>
          </cell>
          <cell r="E45">
            <v>12758.86</v>
          </cell>
          <cell r="F45">
            <v>1</v>
          </cell>
          <cell r="G45" t="str">
            <v xml:space="preserve">DT P450-64Mb/4.3Gb/MATROX G200 AGP 8mB/3Com Lan      HPD8172N </v>
          </cell>
          <cell r="H45">
            <v>24009</v>
          </cell>
          <cell r="I45">
            <v>1</v>
          </cell>
          <cell r="J45">
            <v>24009</v>
          </cell>
        </row>
        <row r="46">
          <cell r="B46" t="str">
            <v>ООС-0104-000690</v>
          </cell>
          <cell r="C46" t="str">
            <v>Сис. Блок HP Vei8</v>
          </cell>
          <cell r="D46">
            <v>37622</v>
          </cell>
          <cell r="E46">
            <v>7650.02</v>
          </cell>
          <cell r="F46">
            <v>1</v>
          </cell>
          <cell r="G46" t="str">
            <v xml:space="preserve">DT P450-64Mb/4.3Gb/MATROX G200 AGP 8mB/3Com Lan      HPD8172N </v>
          </cell>
          <cell r="H46">
            <v>24009</v>
          </cell>
          <cell r="I46">
            <v>1</v>
          </cell>
          <cell r="J46">
            <v>24009</v>
          </cell>
        </row>
        <row r="47">
          <cell r="B47" t="str">
            <v>ООС-0104-000691</v>
          </cell>
          <cell r="C47" t="str">
            <v>Сканер HP4300</v>
          </cell>
          <cell r="D47">
            <v>37622</v>
          </cell>
          <cell r="E47">
            <v>3965.04</v>
          </cell>
          <cell r="F47">
            <v>1</v>
          </cell>
          <cell r="G47" t="str">
            <v>HP ScanJet 4300C</v>
          </cell>
          <cell r="H47">
            <v>3481</v>
          </cell>
          <cell r="I47">
            <v>1</v>
          </cell>
          <cell r="J47">
            <v>3481</v>
          </cell>
        </row>
        <row r="48">
          <cell r="B48" t="str">
            <v>ООС-0104-000692</v>
          </cell>
          <cell r="C48" t="str">
            <v>Сис. Блок с монит. HPLC3</v>
          </cell>
          <cell r="D48">
            <v>37622</v>
          </cell>
          <cell r="E48">
            <v>17280.259999999998</v>
          </cell>
          <cell r="F48">
            <v>1</v>
          </cell>
          <cell r="G48" t="str">
            <v xml:space="preserve">HP Vectra VEi7 DT C466-32M4.3G/S95      HPD8126A  и ViewSonic VP 140 TCO'99 </v>
          </cell>
          <cell r="H48">
            <v>23069</v>
          </cell>
          <cell r="I48">
            <v>1</v>
          </cell>
          <cell r="J48">
            <v>23069</v>
          </cell>
        </row>
        <row r="49">
          <cell r="B49" t="str">
            <v>ООС-0104-000693</v>
          </cell>
          <cell r="C49" t="str">
            <v>Модем HPVL400</v>
          </cell>
          <cell r="D49">
            <v>37622</v>
          </cell>
          <cell r="E49">
            <v>13914.36</v>
          </cell>
          <cell r="F49">
            <v>8</v>
          </cell>
          <cell r="G49" t="str">
            <v xml:space="preserve">Модем HP FA132A 56K CF </v>
          </cell>
          <cell r="H49">
            <v>3508</v>
          </cell>
          <cell r="I49">
            <v>1</v>
          </cell>
          <cell r="J49">
            <v>28064</v>
          </cell>
        </row>
        <row r="50">
          <cell r="B50" t="str">
            <v>ООС-0104-000695</v>
          </cell>
          <cell r="C50" t="str">
            <v>Сис. Блок VL410</v>
          </cell>
          <cell r="D50">
            <v>37622</v>
          </cell>
          <cell r="E50">
            <v>10165.31</v>
          </cell>
          <cell r="F50">
            <v>1</v>
          </cell>
          <cell r="G50" t="str">
            <v>Pentium 4/1600 MHz/256 Mb/20000 Mb/SVGA Hewlett-Packard HP Vectra VL410 DT P4-1.6GHz 256M20G CDLAN W98 (P5974A</v>
          </cell>
          <cell r="H50">
            <v>19894</v>
          </cell>
          <cell r="I50">
            <v>1</v>
          </cell>
          <cell r="J50">
            <v>19894</v>
          </cell>
        </row>
        <row r="51">
          <cell r="B51" t="str">
            <v>ООС-0104-000696</v>
          </cell>
          <cell r="C51" t="str">
            <v>Сис. Блок VL410</v>
          </cell>
          <cell r="D51">
            <v>37622</v>
          </cell>
          <cell r="E51">
            <v>9989.0300000000007</v>
          </cell>
          <cell r="F51">
            <v>1</v>
          </cell>
          <cell r="G51" t="str">
            <v>Pentium 4/1600 MHz/256 Mb/20000 Mb/SVGA Hewlett-Packard HP Vectra VL410 DT P4-1.6GHz 256M20G CDLAN W98 (P5974A</v>
          </cell>
          <cell r="H51">
            <v>19894</v>
          </cell>
          <cell r="I51">
            <v>1</v>
          </cell>
          <cell r="J51">
            <v>19894</v>
          </cell>
        </row>
        <row r="52">
          <cell r="B52" t="str">
            <v>ООС-0104-000700</v>
          </cell>
          <cell r="C52" t="str">
            <v>Сервер HP Lc3</v>
          </cell>
          <cell r="D52">
            <v>37681</v>
          </cell>
          <cell r="E52">
            <v>38448.69</v>
          </cell>
          <cell r="F52">
            <v>1</v>
          </cell>
          <cell r="G52" t="str">
            <v>HP Netserver LC3 LPr</v>
          </cell>
          <cell r="H52">
            <v>25844</v>
          </cell>
          <cell r="I52">
            <v>1</v>
          </cell>
          <cell r="J52">
            <v>25844</v>
          </cell>
        </row>
        <row r="53">
          <cell r="B53" t="str">
            <v>ООС-0104-000717</v>
          </cell>
          <cell r="C53" t="str">
            <v>Мобил. Тел. EricssonT68</v>
          </cell>
          <cell r="D53">
            <v>37622</v>
          </cell>
          <cell r="E53">
            <v>9845.09</v>
          </cell>
          <cell r="F53">
            <v>1</v>
          </cell>
          <cell r="G53" t="str">
            <v xml:space="preserve">SONY ERICSSON T68 </v>
          </cell>
          <cell r="H53">
            <v>4660</v>
          </cell>
          <cell r="I53">
            <v>1</v>
          </cell>
          <cell r="J53">
            <v>4660</v>
          </cell>
        </row>
        <row r="54">
          <cell r="B54" t="str">
            <v>ООС-0104-000723</v>
          </cell>
          <cell r="C54" t="str">
            <v>Мон.+сис. Блок HPD8897</v>
          </cell>
          <cell r="D54">
            <v>37622</v>
          </cell>
          <cell r="E54">
            <v>12063.83</v>
          </cell>
          <cell r="F54">
            <v>1</v>
          </cell>
          <cell r="G54" t="str">
            <v xml:space="preserve">HP Vectra VEi7 DT C466-32M4.3G/S95      HPD8126A </v>
          </cell>
          <cell r="H54">
            <v>16955</v>
          </cell>
          <cell r="I54">
            <v>1</v>
          </cell>
          <cell r="J54">
            <v>16955</v>
          </cell>
        </row>
        <row r="55">
          <cell r="B55" t="str">
            <v>ООС-0104-000727</v>
          </cell>
          <cell r="C55" t="str">
            <v>Факс MB9410</v>
          </cell>
          <cell r="D55">
            <v>37622</v>
          </cell>
          <cell r="E55">
            <v>21053.89</v>
          </cell>
          <cell r="F55">
            <v>1</v>
          </cell>
          <cell r="G55" t="str">
            <v xml:space="preserve">Факс OKI FAX 5680 with handset, 8ppm, 600 dpi </v>
          </cell>
          <cell r="H55">
            <v>23550</v>
          </cell>
          <cell r="I55">
            <v>1</v>
          </cell>
          <cell r="J55">
            <v>23550</v>
          </cell>
        </row>
        <row r="56">
          <cell r="B56" t="str">
            <v>ООС-0104-000737</v>
          </cell>
          <cell r="C56" t="str">
            <v>Компьютер 1 Щулькина</v>
          </cell>
          <cell r="D56">
            <v>37622</v>
          </cell>
          <cell r="E56">
            <v>6740.51</v>
          </cell>
          <cell r="F56">
            <v>1</v>
          </cell>
          <cell r="G56" t="str">
            <v xml:space="preserve">Celeron/900 MHz/64 Mb/20000 Mb/SVGA Hewlett-Packard ПК HP Vectra VL400, Cel 900MHz, 64MB PC133 SDRAM, 20GB, AGP и Монитор 15'' ViewSonic E651 </v>
          </cell>
          <cell r="H56">
            <v>15097</v>
          </cell>
          <cell r="I56">
            <v>1</v>
          </cell>
          <cell r="J56">
            <v>15097</v>
          </cell>
        </row>
        <row r="57">
          <cell r="B57" t="str">
            <v>ООС-0104-000738</v>
          </cell>
          <cell r="C57" t="str">
            <v>Компьютер 2 Черная</v>
          </cell>
          <cell r="D57">
            <v>37622</v>
          </cell>
          <cell r="E57">
            <v>5754.35</v>
          </cell>
          <cell r="F57">
            <v>1</v>
          </cell>
          <cell r="G57" t="str">
            <v xml:space="preserve">Celeron/900 MHz/64 Mb/20000 Mb/SVGA Hewlett-Packard ПК HP Vectra VL400, Cel 900MHz, 64MB PC133 SDRAM, 20GB, AGP и Монитор 15'' ViewSonic E651 </v>
          </cell>
          <cell r="H57">
            <v>15097</v>
          </cell>
          <cell r="I57">
            <v>1</v>
          </cell>
          <cell r="J57">
            <v>15097</v>
          </cell>
        </row>
        <row r="58">
          <cell r="B58" t="str">
            <v>ООС-0104-000739</v>
          </cell>
          <cell r="C58" t="str">
            <v>Компьютер 3 Попеску</v>
          </cell>
          <cell r="D58">
            <v>37622</v>
          </cell>
          <cell r="E58">
            <v>6393.39</v>
          </cell>
          <cell r="F58">
            <v>1</v>
          </cell>
          <cell r="G58" t="str">
            <v xml:space="preserve">Celeron/900 MHz/64 Mb/20000 Mb/SVGA Hewlett-Packard ПК HP Vectra VL400, Cel 900MHz, 64MB PC133 SDRAM, 20GB, AGP и Монитор 15'' ViewSonic E651 </v>
          </cell>
          <cell r="H58">
            <v>15097</v>
          </cell>
          <cell r="I58">
            <v>1</v>
          </cell>
          <cell r="J58">
            <v>15097</v>
          </cell>
        </row>
        <row r="59">
          <cell r="B59" t="str">
            <v>ООС-0104-000740</v>
          </cell>
          <cell r="C59" t="str">
            <v>АТС ,Орская,25</v>
          </cell>
          <cell r="D59">
            <v>37622</v>
          </cell>
          <cell r="E59">
            <v>9643.24</v>
          </cell>
          <cell r="F59">
            <v>1</v>
          </cell>
          <cell r="G59" t="str">
            <v xml:space="preserve">KX-TA616RU </v>
          </cell>
          <cell r="H59">
            <v>10700</v>
          </cell>
          <cell r="I59">
            <v>1</v>
          </cell>
          <cell r="J59">
            <v>10700</v>
          </cell>
        </row>
        <row r="60">
          <cell r="B60" t="str">
            <v>ООС-0104-000742</v>
          </cell>
          <cell r="C60" t="str">
            <v>Копп. Апп.Ricon FT5832</v>
          </cell>
          <cell r="D60">
            <v>37622</v>
          </cell>
          <cell r="E60">
            <v>50721.43</v>
          </cell>
          <cell r="F60">
            <v>1</v>
          </cell>
          <cell r="G60" t="str">
            <v xml:space="preserve">Копировальный аппарат Ricoh FT-5832 (А3) </v>
          </cell>
          <cell r="H60">
            <v>81365</v>
          </cell>
          <cell r="I60">
            <v>1</v>
          </cell>
          <cell r="J60">
            <v>81365</v>
          </cell>
        </row>
        <row r="61">
          <cell r="B61" t="str">
            <v>ООС-0104-000746</v>
          </cell>
          <cell r="C61" t="str">
            <v>Сис. Блок HP-7</v>
          </cell>
          <cell r="D61">
            <v>37622</v>
          </cell>
          <cell r="E61">
            <v>9519.02</v>
          </cell>
          <cell r="F61">
            <v>10</v>
          </cell>
          <cell r="G61" t="str">
            <v>Hewlett-Packard (HP) P1711A Системный блок HP Brio BA 410 P1711A P3-733 64MB 10GB CD-48x W98Engl</v>
          </cell>
          <cell r="H61">
            <v>5879</v>
          </cell>
          <cell r="I61">
            <v>1</v>
          </cell>
          <cell r="J61">
            <v>58790</v>
          </cell>
        </row>
        <row r="62">
          <cell r="B62" t="str">
            <v>ООС-0104-000747</v>
          </cell>
          <cell r="C62" t="str">
            <v>Сервер HP E800</v>
          </cell>
          <cell r="D62">
            <v>37622</v>
          </cell>
          <cell r="E62">
            <v>30243.62</v>
          </cell>
          <cell r="F62">
            <v>1</v>
          </cell>
          <cell r="G62" t="str">
            <v xml:space="preserve">HP Netserver E800 </v>
          </cell>
          <cell r="H62">
            <v>16461</v>
          </cell>
          <cell r="I62">
            <v>1</v>
          </cell>
          <cell r="J62">
            <v>16461</v>
          </cell>
        </row>
        <row r="63">
          <cell r="B63" t="str">
            <v>ООС-0104-000751</v>
          </cell>
          <cell r="C63" t="str">
            <v>Принтер MB206</v>
          </cell>
          <cell r="D63">
            <v>37622</v>
          </cell>
          <cell r="E63">
            <v>2528.25</v>
          </cell>
          <cell r="F63">
            <v>4</v>
          </cell>
          <cell r="G63" t="str">
            <v>Принтер OKI B4250, лазерный</v>
          </cell>
          <cell r="H63">
            <v>5644</v>
          </cell>
          <cell r="I63">
            <v>1</v>
          </cell>
          <cell r="J63">
            <v>22576</v>
          </cell>
        </row>
        <row r="64">
          <cell r="B64" t="str">
            <v>ООС-0104-000753</v>
          </cell>
          <cell r="C64" t="str">
            <v>Копп. Апп. MB5615</v>
          </cell>
          <cell r="D64">
            <v>37622</v>
          </cell>
          <cell r="E64">
            <v>26875.96</v>
          </cell>
          <cell r="F64">
            <v>1</v>
          </cell>
          <cell r="G64" t="str">
            <v xml:space="preserve">КОПИР MB 5815 </v>
          </cell>
          <cell r="H64">
            <v>28807</v>
          </cell>
          <cell r="I64">
            <v>1</v>
          </cell>
          <cell r="J64">
            <v>28807</v>
          </cell>
        </row>
        <row r="65">
          <cell r="B65" t="str">
            <v>ООС-0104-000754</v>
          </cell>
          <cell r="C65" t="str">
            <v>Монитор VS E651</v>
          </cell>
          <cell r="D65">
            <v>37622</v>
          </cell>
          <cell r="E65">
            <v>14759.4</v>
          </cell>
          <cell r="F65">
            <v>1</v>
          </cell>
          <cell r="G65" t="str">
            <v xml:space="preserve">Монитор 15'' ViewSonic E651 </v>
          </cell>
          <cell r="H65">
            <v>4021</v>
          </cell>
          <cell r="I65">
            <v>1</v>
          </cell>
          <cell r="J65">
            <v>4021</v>
          </cell>
        </row>
        <row r="66">
          <cell r="B66" t="str">
            <v>ООС-0104-000757</v>
          </cell>
          <cell r="C66" t="str">
            <v>Принтер HP LJ1100</v>
          </cell>
          <cell r="D66">
            <v>37622</v>
          </cell>
          <cell r="E66">
            <v>4412.41</v>
          </cell>
          <cell r="F66">
            <v>1</v>
          </cell>
          <cell r="G66" t="str">
            <v xml:space="preserve">Принтер HP LaserJet 1100 (C4224A) 8 стр/ мин </v>
          </cell>
          <cell r="H66">
            <v>8653</v>
          </cell>
          <cell r="I66">
            <v>1</v>
          </cell>
          <cell r="J66">
            <v>8653</v>
          </cell>
        </row>
        <row r="67">
          <cell r="B67" t="str">
            <v xml:space="preserve">ООС-0104-000758 </v>
          </cell>
          <cell r="C67" t="str">
            <v>Принтер HP LaserJet4050</v>
          </cell>
          <cell r="D67">
            <v>37622</v>
          </cell>
          <cell r="E67">
            <v>17873.240000000002</v>
          </cell>
          <cell r="F67">
            <v>1</v>
          </cell>
          <cell r="G67" t="str">
            <v xml:space="preserve">HP LaserJet 4050N (C4253A) A4 16 стр/ мин сетевой 1200dpi </v>
          </cell>
          <cell r="H67">
            <v>44522</v>
          </cell>
          <cell r="I67">
            <v>1</v>
          </cell>
          <cell r="J67">
            <v>44522</v>
          </cell>
        </row>
        <row r="68">
          <cell r="B68" t="str">
            <v>ООС-0104-000780</v>
          </cell>
          <cell r="C68" t="str">
            <v>Антенна (южный)</v>
          </cell>
          <cell r="D68">
            <v>37681</v>
          </cell>
          <cell r="E68">
            <v>51629.73</v>
          </cell>
          <cell r="F68">
            <v>1</v>
          </cell>
          <cell r="G68" t="str">
            <v>Антенна спутниковая офсетная 1.8x1.6 м, полярная</v>
          </cell>
          <cell r="H68">
            <v>6819</v>
          </cell>
          <cell r="I68">
            <v>1</v>
          </cell>
          <cell r="J68">
            <v>6819</v>
          </cell>
        </row>
        <row r="69">
          <cell r="B69" t="str">
            <v>ООС-0104-000783</v>
          </cell>
          <cell r="C69" t="str">
            <v>Сервер  HP LH Pro</v>
          </cell>
          <cell r="D69">
            <v>37681</v>
          </cell>
          <cell r="E69">
            <v>174502.65</v>
          </cell>
          <cell r="F69">
            <v>2</v>
          </cell>
          <cell r="G69" t="str">
            <v xml:space="preserve">Сервер HP NetServer LH3000r PIII/1000 M1 U3-SCSI </v>
          </cell>
          <cell r="H69">
            <v>106780</v>
          </cell>
          <cell r="I69">
            <v>1</v>
          </cell>
          <cell r="J69">
            <v>213560</v>
          </cell>
        </row>
        <row r="70">
          <cell r="B70" t="str">
            <v>ООС-0104-000785</v>
          </cell>
          <cell r="C70" t="str">
            <v>Сервер HP E800</v>
          </cell>
          <cell r="D70">
            <v>37681</v>
          </cell>
          <cell r="E70">
            <v>174502.65</v>
          </cell>
          <cell r="F70">
            <v>2</v>
          </cell>
          <cell r="G70" t="str">
            <v xml:space="preserve">HP Netserver E800 </v>
          </cell>
          <cell r="H70">
            <v>16461</v>
          </cell>
          <cell r="I70">
            <v>1</v>
          </cell>
          <cell r="J70">
            <v>32922</v>
          </cell>
        </row>
        <row r="71">
          <cell r="B71" t="str">
            <v>ООС-0104-000837</v>
          </cell>
          <cell r="C71" t="str">
            <v>Принтер HPLJ2100</v>
          </cell>
          <cell r="D71">
            <v>37742</v>
          </cell>
          <cell r="E71">
            <v>8956.91</v>
          </cell>
          <cell r="F71">
            <v>1</v>
          </cell>
          <cell r="G71" t="str">
            <v>Принтер лазерный HP LJ 2100</v>
          </cell>
          <cell r="H71">
            <v>20339</v>
          </cell>
          <cell r="I71">
            <v>1</v>
          </cell>
          <cell r="J71">
            <v>20339</v>
          </cell>
        </row>
        <row r="72">
          <cell r="B72" t="str">
            <v>ООС-0104-000844</v>
          </cell>
          <cell r="C72" t="str">
            <v>Ноутбук Satellite2100СDT</v>
          </cell>
          <cell r="D72">
            <v>37742</v>
          </cell>
          <cell r="E72">
            <v>14575.65</v>
          </cell>
          <cell r="F72">
            <v>1</v>
          </cell>
          <cell r="G72" t="str">
            <v xml:space="preserve">Ноутбук Toshiba Satellite 2100CDT </v>
          </cell>
          <cell r="H72">
            <v>32099</v>
          </cell>
          <cell r="I72">
            <v>1</v>
          </cell>
          <cell r="J72">
            <v>32099</v>
          </cell>
        </row>
        <row r="73">
          <cell r="B73" t="str">
            <v>ООС-0104-000846</v>
          </cell>
          <cell r="C73" t="str">
            <v>Сис. Блок Vei7</v>
          </cell>
          <cell r="D73">
            <v>37742</v>
          </cell>
          <cell r="E73">
            <v>7743.32</v>
          </cell>
          <cell r="F73">
            <v>1</v>
          </cell>
          <cell r="G73" t="str">
            <v xml:space="preserve">HP Vectra VEi7 DT C466-32M4.3G/S95      HPD8126A </v>
          </cell>
          <cell r="H73">
            <v>16955</v>
          </cell>
          <cell r="I73">
            <v>1</v>
          </cell>
          <cell r="J73">
            <v>16955</v>
          </cell>
        </row>
        <row r="74">
          <cell r="B74" t="str">
            <v>ООС-0104-000864</v>
          </cell>
          <cell r="C74" t="str">
            <v>Ноутбук Sat.5205-S505</v>
          </cell>
          <cell r="D74">
            <v>37811</v>
          </cell>
          <cell r="E74">
            <v>37926.160000000003</v>
          </cell>
          <cell r="F74">
            <v>1</v>
          </cell>
          <cell r="G74" t="str">
            <v>Ноутбук Satelite 5205-S505 PS520U-31P1RV</v>
          </cell>
          <cell r="H74">
            <v>32452</v>
          </cell>
          <cell r="I74">
            <v>1</v>
          </cell>
          <cell r="J74">
            <v>32452</v>
          </cell>
        </row>
        <row r="75">
          <cell r="B75" t="str">
            <v>ООС-0104-000933</v>
          </cell>
          <cell r="C75" t="str">
            <v>Ноутбук Sat.5205-S705</v>
          </cell>
          <cell r="D75">
            <v>37935</v>
          </cell>
          <cell r="E75">
            <v>55557.71</v>
          </cell>
          <cell r="F75">
            <v>1</v>
          </cell>
          <cell r="G75" t="str">
            <v xml:space="preserve">Ноутбук Satelite 5205-S705 PS522U-XK00QR </v>
          </cell>
          <cell r="H75">
            <v>44681</v>
          </cell>
          <cell r="I75">
            <v>1</v>
          </cell>
          <cell r="J75">
            <v>44681</v>
          </cell>
        </row>
        <row r="76">
          <cell r="B76" t="str">
            <v>ООС-0104-000983</v>
          </cell>
          <cell r="C76" t="str">
            <v xml:space="preserve">Компьютерная сеть </v>
          </cell>
          <cell r="D76">
            <v>38077</v>
          </cell>
          <cell r="E76">
            <v>214352.63</v>
          </cell>
          <cell r="F76">
            <v>1</v>
          </cell>
          <cell r="G76" t="str">
            <v xml:space="preserve">3com &lt;4070 3C17707&gt; Switch 24port SFP - Сетевое оборудование 3com </v>
          </cell>
          <cell r="H76">
            <v>165924</v>
          </cell>
          <cell r="I76">
            <v>1</v>
          </cell>
          <cell r="J76">
            <v>165924</v>
          </cell>
        </row>
        <row r="77">
          <cell r="B77" t="str">
            <v>ООС-0104-000987</v>
          </cell>
          <cell r="C77" t="str">
            <v>Система ПС</v>
          </cell>
          <cell r="D77">
            <v>38077</v>
          </cell>
          <cell r="E77">
            <v>45846.14</v>
          </cell>
          <cell r="F77">
            <v>1</v>
          </cell>
          <cell r="G77" t="str">
            <v xml:space="preserve">Корунд-20СИ </v>
          </cell>
          <cell r="H77">
            <v>34614</v>
          </cell>
          <cell r="I77">
            <v>1</v>
          </cell>
          <cell r="J77">
            <v>34614</v>
          </cell>
        </row>
        <row r="78">
          <cell r="B78" t="str">
            <v>ООС-0104-000988</v>
          </cell>
          <cell r="C78" t="str">
            <v>Система теленаблюдения</v>
          </cell>
          <cell r="D78">
            <v>38077</v>
          </cell>
          <cell r="E78">
            <v>46027.199999999997</v>
          </cell>
          <cell r="F78">
            <v>1</v>
          </cell>
          <cell r="G78" t="str">
            <v>Компьютер с установленной системой теленаблюдения Магистр Complex и и комплектом Экстерн 4</v>
          </cell>
          <cell r="H78">
            <v>52087</v>
          </cell>
          <cell r="I78">
            <v>1</v>
          </cell>
          <cell r="J78">
            <v>52087</v>
          </cell>
        </row>
        <row r="79">
          <cell r="B79" t="str">
            <v>ООС-0104-000989</v>
          </cell>
          <cell r="C79" t="str">
            <v>Система П (склады)</v>
          </cell>
          <cell r="D79">
            <v>38077</v>
          </cell>
          <cell r="E79">
            <v>46662.78</v>
          </cell>
          <cell r="F79">
            <v>1</v>
          </cell>
          <cell r="G79" t="str">
            <v xml:space="preserve">Корунд-20СИ </v>
          </cell>
          <cell r="H79">
            <v>34614</v>
          </cell>
          <cell r="I79">
            <v>1</v>
          </cell>
          <cell r="J79">
            <v>34614</v>
          </cell>
        </row>
        <row r="80">
          <cell r="B80" t="str">
            <v>ООС-0104-000990</v>
          </cell>
          <cell r="C80" t="str">
            <v xml:space="preserve">телефонный кабель </v>
          </cell>
          <cell r="D80">
            <v>38077</v>
          </cell>
          <cell r="E80">
            <v>191303.2</v>
          </cell>
          <cell r="F80">
            <v>1</v>
          </cell>
          <cell r="G80" t="str">
            <v>Расходный материал</v>
          </cell>
        </row>
        <row r="81">
          <cell r="B81" t="str">
            <v>ООС-0104-000991</v>
          </cell>
          <cell r="C81" t="str">
            <v>Выделенный  канал связи</v>
          </cell>
          <cell r="D81">
            <v>38077</v>
          </cell>
          <cell r="E81">
            <v>46293.78</v>
          </cell>
          <cell r="F81">
            <v>1</v>
          </cell>
          <cell r="G81" t="str">
            <v>Услуга</v>
          </cell>
        </row>
        <row r="82">
          <cell r="B82" t="str">
            <v>ООС-0104-000992</v>
          </cell>
          <cell r="C82" t="str">
            <v>Телефонная линия</v>
          </cell>
          <cell r="D82">
            <v>38077</v>
          </cell>
          <cell r="E82">
            <v>11648</v>
          </cell>
          <cell r="F82">
            <v>1</v>
          </cell>
          <cell r="G82" t="str">
            <v>Услуга</v>
          </cell>
        </row>
        <row r="83">
          <cell r="B83" t="str">
            <v>ООС-0104-000993</v>
          </cell>
          <cell r="C83" t="str">
            <v>Пожарно-охранная сигнал.</v>
          </cell>
          <cell r="D83">
            <v>38077</v>
          </cell>
          <cell r="E83">
            <v>15344.02</v>
          </cell>
          <cell r="F83">
            <v>1</v>
          </cell>
          <cell r="G83" t="str">
            <v xml:space="preserve">БЛ-40М </v>
          </cell>
          <cell r="H83">
            <v>19901</v>
          </cell>
          <cell r="I83">
            <v>1</v>
          </cell>
          <cell r="J83">
            <v>19901</v>
          </cell>
        </row>
        <row r="84">
          <cell r="B84" t="str">
            <v>ООС-0104-000994</v>
          </cell>
          <cell r="C84" t="str">
            <v>Абон. Устр.интег. Доступа</v>
          </cell>
          <cell r="D84">
            <v>38077</v>
          </cell>
          <cell r="E84">
            <v>20961.099999999999</v>
          </cell>
          <cell r="F84">
            <v>1</v>
          </cell>
          <cell r="G84" t="str">
            <v xml:space="preserve">АТС Panasonic KX-TD50290CE for TD500 (плата ISDN 30 каналов PRI QSIG) </v>
          </cell>
          <cell r="H84">
            <v>16343</v>
          </cell>
          <cell r="I84">
            <v>1</v>
          </cell>
          <cell r="J84">
            <v>16343</v>
          </cell>
        </row>
        <row r="85">
          <cell r="B85" t="str">
            <v>ООС-0104-000995</v>
          </cell>
          <cell r="C85" t="str">
            <v>Система ОС</v>
          </cell>
          <cell r="D85">
            <v>38077</v>
          </cell>
          <cell r="E85">
            <v>50049.279999999999</v>
          </cell>
          <cell r="F85">
            <v>1</v>
          </cell>
          <cell r="G85" t="str">
            <v xml:space="preserve">Охранный комплекс Black Bug Super 85 </v>
          </cell>
          <cell r="H85">
            <v>49383</v>
          </cell>
          <cell r="I85">
            <v>1</v>
          </cell>
          <cell r="J85">
            <v>49383</v>
          </cell>
        </row>
        <row r="86">
          <cell r="B86" t="str">
            <v>ООС-0104-001008</v>
          </cell>
          <cell r="C86" t="str">
            <v>Копир MB 5645</v>
          </cell>
          <cell r="D86">
            <v>38108</v>
          </cell>
          <cell r="E86">
            <v>17077.78</v>
          </cell>
          <cell r="F86">
            <v>1</v>
          </cell>
          <cell r="G86" t="str">
            <v xml:space="preserve">КОПИР MB 5815 </v>
          </cell>
          <cell r="H86">
            <v>28807</v>
          </cell>
          <cell r="I86">
            <v>1</v>
          </cell>
          <cell r="J86">
            <v>28807</v>
          </cell>
        </row>
        <row r="87">
          <cell r="B87" t="str">
            <v>ООС-0104-001021</v>
          </cell>
          <cell r="C87" t="str">
            <v>Ноутбук IBM T41</v>
          </cell>
          <cell r="D87">
            <v>38217</v>
          </cell>
          <cell r="E87">
            <v>33348.080000000002</v>
          </cell>
          <cell r="F87">
            <v>1</v>
          </cell>
          <cell r="G87" t="str">
            <v>Ноутбук IBM ThinkPad T41 14.1" XGA</v>
          </cell>
          <cell r="H87">
            <v>52287</v>
          </cell>
          <cell r="I87">
            <v>1</v>
          </cell>
          <cell r="J87">
            <v>52287</v>
          </cell>
        </row>
        <row r="88">
          <cell r="B88" t="str">
            <v>ООС-0104-001025</v>
          </cell>
          <cell r="C88" t="str">
            <v>Монитор 17Soni X72 LCD</v>
          </cell>
          <cell r="D88">
            <v>38223</v>
          </cell>
          <cell r="E88">
            <v>33348.080000000002</v>
          </cell>
          <cell r="F88">
            <v>1</v>
          </cell>
          <cell r="G88" t="str">
            <v xml:space="preserve">Монитор LCD 17" SONY X72B </v>
          </cell>
          <cell r="H88">
            <v>21689</v>
          </cell>
          <cell r="I88">
            <v>1</v>
          </cell>
          <cell r="J88">
            <v>21689</v>
          </cell>
        </row>
        <row r="89">
          <cell r="B89" t="str">
            <v>Оос-0104-001030</v>
          </cell>
          <cell r="C89" t="str">
            <v>Сис. Блок C-HPATI</v>
          </cell>
          <cell r="D89">
            <v>38223</v>
          </cell>
          <cell r="E89">
            <v>33348.080000000002</v>
          </cell>
          <cell r="F89">
            <v>1</v>
          </cell>
          <cell r="G89" t="str">
            <v>Pentium 4/1700 MHz/256 Mb/40000 Mb/SVGA Hewlett-Packard Vectra VL420 MT P4-1.7 40GB 256MB i845 NVidiaGF2 32MB DVD (P5768A</v>
          </cell>
          <cell r="H89">
            <v>25374</v>
          </cell>
          <cell r="I89">
            <v>1</v>
          </cell>
          <cell r="J89">
            <v>25374</v>
          </cell>
        </row>
        <row r="90">
          <cell r="B90" t="str">
            <v>ООС-0104-001038</v>
          </cell>
          <cell r="C90" t="str">
            <v>Ноутбук Satel A40</v>
          </cell>
          <cell r="D90">
            <v>38223</v>
          </cell>
          <cell r="E90">
            <v>33348.080000000002</v>
          </cell>
          <cell r="F90">
            <v>1</v>
          </cell>
          <cell r="G90" t="str">
            <v xml:space="preserve">TOSHIBA Satellite PRO SPA40-RU </v>
          </cell>
          <cell r="H90">
            <v>33757</v>
          </cell>
          <cell r="I90">
            <v>1</v>
          </cell>
          <cell r="J90">
            <v>33757</v>
          </cell>
        </row>
        <row r="91">
          <cell r="B91" t="str">
            <v>ООС-0105-000167</v>
          </cell>
          <cell r="C91" t="str">
            <v>Сейф кабинетный Р-3003</v>
          </cell>
          <cell r="D91">
            <v>36539</v>
          </cell>
          <cell r="E91">
            <v>6193.48</v>
          </cell>
          <cell r="F91">
            <v>1</v>
          </cell>
          <cell r="G91" t="str">
            <v xml:space="preserve">Сейф кабинетный СК–2–108Т </v>
          </cell>
          <cell r="H91">
            <v>9322</v>
          </cell>
          <cell r="I91">
            <v>1</v>
          </cell>
          <cell r="J91">
            <v>9322</v>
          </cell>
        </row>
        <row r="92">
          <cell r="B92" t="str">
            <v>ООС-0105-000505</v>
          </cell>
          <cell r="C92" t="str">
            <v>Шкаф-купе НА</v>
          </cell>
          <cell r="D92">
            <v>37622</v>
          </cell>
          <cell r="E92">
            <v>9368.8700000000008</v>
          </cell>
          <cell r="F92">
            <v>1</v>
          </cell>
          <cell r="G92" t="str">
            <v xml:space="preserve">Эфес Атлант АН-327 шкаф-купе </v>
          </cell>
          <cell r="H92">
            <v>9114</v>
          </cell>
          <cell r="I92">
            <v>1</v>
          </cell>
          <cell r="J92">
            <v>9114</v>
          </cell>
        </row>
        <row r="93">
          <cell r="B93" t="str">
            <v>ООС-0105-000513</v>
          </cell>
          <cell r="C93" t="str">
            <v>Компл. Метал. Стелажей</v>
          </cell>
          <cell r="D93">
            <v>37742</v>
          </cell>
          <cell r="E93">
            <v>23126.47</v>
          </cell>
          <cell r="F93">
            <v>1</v>
          </cell>
          <cell r="G93" t="str">
            <v>Стеллаж металлический (1330х450х2200) (архивный)</v>
          </cell>
          <cell r="H93">
            <v>19559</v>
          </cell>
          <cell r="I93">
            <v>1</v>
          </cell>
          <cell r="J93">
            <v>19559</v>
          </cell>
        </row>
        <row r="94">
          <cell r="B94" t="str">
            <v>ООС-0105-000515</v>
          </cell>
          <cell r="C94" t="str">
            <v>Гардероб на 216 номеров</v>
          </cell>
          <cell r="D94">
            <v>37742</v>
          </cell>
          <cell r="E94">
            <v>17785.64</v>
          </cell>
          <cell r="F94">
            <v>1</v>
          </cell>
          <cell r="G94" t="str">
            <v>Гардероб</v>
          </cell>
          <cell r="H94">
            <v>19002</v>
          </cell>
          <cell r="I94">
            <v>1</v>
          </cell>
          <cell r="J94">
            <v>19002</v>
          </cell>
        </row>
        <row r="95">
          <cell r="B95" t="str">
            <v>ООС-0105-000525</v>
          </cell>
          <cell r="C95" t="str">
            <v>Жалюзи</v>
          </cell>
          <cell r="D95">
            <v>38077</v>
          </cell>
          <cell r="E95">
            <v>8731.08</v>
          </cell>
          <cell r="F95">
            <v>1</v>
          </cell>
          <cell r="G95" t="str">
            <v xml:space="preserve">Жалюзи на окна </v>
          </cell>
          <cell r="H95">
            <v>12407</v>
          </cell>
          <cell r="I95">
            <v>1</v>
          </cell>
          <cell r="J95">
            <v>12407</v>
          </cell>
        </row>
        <row r="96">
          <cell r="B96" t="str">
            <v>ООС-0105-000528</v>
          </cell>
          <cell r="C96" t="str">
            <v>Сейф несгораемый</v>
          </cell>
          <cell r="D96">
            <v>38108</v>
          </cell>
          <cell r="E96">
            <v>15175.26</v>
          </cell>
          <cell r="F96">
            <v>1</v>
          </cell>
          <cell r="G96" t="str">
            <v xml:space="preserve">Сейф AIKO ASM-120T/2 </v>
          </cell>
          <cell r="H96">
            <v>12203</v>
          </cell>
          <cell r="I96">
            <v>1</v>
          </cell>
          <cell r="J96">
            <v>12203</v>
          </cell>
        </row>
        <row r="97">
          <cell r="B97" t="str">
            <v>ООС-0105-000529</v>
          </cell>
          <cell r="C97" t="str">
            <v>Сейф двухдверный</v>
          </cell>
          <cell r="D97">
            <v>38108</v>
          </cell>
          <cell r="E97">
            <v>10422.57</v>
          </cell>
          <cell r="F97">
            <v>1</v>
          </cell>
          <cell r="G97" t="str">
            <v xml:space="preserve">Сейф кабинетный СК–2–108Т </v>
          </cell>
          <cell r="H97">
            <v>9322</v>
          </cell>
          <cell r="I97">
            <v>1</v>
          </cell>
          <cell r="J97">
            <v>9322</v>
          </cell>
        </row>
        <row r="98">
          <cell r="B98" t="str">
            <v>ООС-0105-000530</v>
          </cell>
          <cell r="C98" t="str">
            <v>Сейф двухячеячный</v>
          </cell>
          <cell r="D98">
            <v>38108</v>
          </cell>
          <cell r="E98">
            <v>10422.57</v>
          </cell>
          <cell r="F98">
            <v>1</v>
          </cell>
          <cell r="G98" t="str">
            <v xml:space="preserve">Сейф кабинетный СК–2–108Т </v>
          </cell>
          <cell r="H98">
            <v>9322</v>
          </cell>
          <cell r="I98">
            <v>1</v>
          </cell>
          <cell r="J98">
            <v>9322</v>
          </cell>
        </row>
        <row r="99">
          <cell r="B99" t="str">
            <v>ООС-0105-000531</v>
          </cell>
          <cell r="C99" t="str">
            <v>Сейф Рипис двухяч.</v>
          </cell>
          <cell r="D99">
            <v>38108</v>
          </cell>
          <cell r="E99">
            <v>9838.91</v>
          </cell>
          <cell r="F99">
            <v>1</v>
          </cell>
          <cell r="G99" t="str">
            <v xml:space="preserve">Сейф кабинетный СК–2–108Т </v>
          </cell>
          <cell r="H99">
            <v>9322</v>
          </cell>
          <cell r="I99">
            <v>1</v>
          </cell>
          <cell r="J99">
            <v>9322</v>
          </cell>
        </row>
        <row r="100">
          <cell r="B100" t="str">
            <v>ООС-0105-000532</v>
          </cell>
          <cell r="C100" t="str">
            <v>Сейф Aiko</v>
          </cell>
          <cell r="D100">
            <v>38108</v>
          </cell>
          <cell r="E100">
            <v>11840.04</v>
          </cell>
          <cell r="F100">
            <v>1</v>
          </cell>
          <cell r="G100" t="str">
            <v xml:space="preserve">Сейф AIKO ASM-120T/2 </v>
          </cell>
          <cell r="H100">
            <v>12203</v>
          </cell>
          <cell r="I100">
            <v>1</v>
          </cell>
          <cell r="J100">
            <v>12203</v>
          </cell>
        </row>
        <row r="101">
          <cell r="B101" t="str">
            <v>ООС-0104--000932</v>
          </cell>
          <cell r="C101" t="str">
            <v>Ноутбук Satellite5205-S705</v>
          </cell>
          <cell r="D101">
            <v>37935</v>
          </cell>
          <cell r="E101">
            <v>55557.71</v>
          </cell>
          <cell r="F101">
            <v>1</v>
          </cell>
          <cell r="G101" t="str">
            <v xml:space="preserve">Ноутбук Satelite 5205-S705 PS522U-XK00QR </v>
          </cell>
          <cell r="H101">
            <v>44681</v>
          </cell>
          <cell r="I101">
            <v>1</v>
          </cell>
          <cell r="J101">
            <v>44681</v>
          </cell>
        </row>
        <row r="102">
          <cell r="B102" t="str">
            <v>ООС-0104-001080</v>
          </cell>
          <cell r="C102" t="str">
            <v>Пневмонадув. Конструкция</v>
          </cell>
          <cell r="D102">
            <v>38286</v>
          </cell>
          <cell r="E102">
            <v>58937.5</v>
          </cell>
          <cell r="F102">
            <v>1</v>
          </cell>
          <cell r="G102" t="str">
            <v xml:space="preserve">ПК-Г6 6,0х3,0х4,0 </v>
          </cell>
          <cell r="H102">
            <v>55169</v>
          </cell>
          <cell r="I102">
            <v>1</v>
          </cell>
          <cell r="J102">
            <v>55169</v>
          </cell>
        </row>
        <row r="103">
          <cell r="B103" t="str">
            <v>ООС-0104-000584</v>
          </cell>
          <cell r="C103" t="str">
            <v>Проектор ASK C20</v>
          </cell>
          <cell r="D103">
            <v>37469</v>
          </cell>
          <cell r="E103">
            <v>33487.19</v>
          </cell>
          <cell r="F103">
            <v>3</v>
          </cell>
          <cell r="G103" t="str">
            <v>Проектор ASK Proxima C110, DLP, 1600 ANSI Lm, SVGA, 3.1 кг.</v>
          </cell>
          <cell r="H103">
            <v>28290</v>
          </cell>
          <cell r="I103">
            <v>1</v>
          </cell>
          <cell r="J103">
            <v>84870</v>
          </cell>
        </row>
        <row r="104">
          <cell r="B104" t="str">
            <v>ООС-0104-000285</v>
          </cell>
          <cell r="C104" t="str">
            <v>Сис. Блок Vei8</v>
          </cell>
          <cell r="D104">
            <v>36708</v>
          </cell>
          <cell r="E104">
            <v>10709.98</v>
          </cell>
          <cell r="F104">
            <v>1</v>
          </cell>
          <cell r="G104" t="str">
            <v xml:space="preserve">DT P450-64Mb/4.3Gb/MATROX G200 AGP 8mB/3Com Lan      HPD8172N </v>
          </cell>
          <cell r="H104">
            <v>24009</v>
          </cell>
          <cell r="I104">
            <v>1</v>
          </cell>
          <cell r="J104">
            <v>24009</v>
          </cell>
        </row>
        <row r="105">
          <cell r="B105" t="str">
            <v>ООС-0104-000333</v>
          </cell>
          <cell r="C105" t="str">
            <v>Сис. Блок VL400</v>
          </cell>
          <cell r="D105">
            <v>36860</v>
          </cell>
          <cell r="E105">
            <v>5573.67</v>
          </cell>
          <cell r="F105">
            <v>1</v>
          </cell>
          <cell r="G105" t="str">
            <v>Celeron/900 MHz/64 Mb/20000 Mb/SVGA Hewlett-Packard ПК HP Vectra VL400, Cel 900MHz, 64MB PC133 SDRAM, 20GB, AGP</v>
          </cell>
          <cell r="H105">
            <v>11076</v>
          </cell>
          <cell r="I105">
            <v>1</v>
          </cell>
          <cell r="J105">
            <v>11076</v>
          </cell>
        </row>
        <row r="106">
          <cell r="B106" t="str">
            <v>ООС-0104-001018</v>
          </cell>
          <cell r="C106" t="str">
            <v>Ноутбук IBM T41</v>
          </cell>
          <cell r="D106">
            <v>38217</v>
          </cell>
          <cell r="E106">
            <v>32840.31</v>
          </cell>
          <cell r="F106">
            <v>1</v>
          </cell>
          <cell r="G106" t="str">
            <v>Ноутбук IBM ThinkPad T41 14.1" XGA</v>
          </cell>
          <cell r="H106">
            <v>52287</v>
          </cell>
          <cell r="I106">
            <v>1</v>
          </cell>
          <cell r="J106">
            <v>52287</v>
          </cell>
        </row>
        <row r="107">
          <cell r="B107" t="str">
            <v>ООС-0104-001019</v>
          </cell>
          <cell r="C107" t="str">
            <v>Ноутбук IBM T41</v>
          </cell>
          <cell r="D107">
            <v>38217</v>
          </cell>
          <cell r="E107">
            <v>32840.31</v>
          </cell>
          <cell r="F107">
            <v>1</v>
          </cell>
          <cell r="G107" t="str">
            <v>Ноутбук IBM ThinkPad T41 14.1" XGA</v>
          </cell>
          <cell r="H107">
            <v>52287</v>
          </cell>
          <cell r="I107">
            <v>1</v>
          </cell>
          <cell r="J107">
            <v>52287</v>
          </cell>
        </row>
        <row r="108">
          <cell r="B108" t="str">
            <v>ООС-0104-001076</v>
          </cell>
          <cell r="C108" t="str">
            <v>Конструкция премьер</v>
          </cell>
          <cell r="D108">
            <v>38268</v>
          </cell>
          <cell r="E108">
            <v>16752.97</v>
          </cell>
          <cell r="F108">
            <v>1</v>
          </cell>
          <cell r="G108" t="str">
            <v>Стол "ПРЕМЬЕР-Т" 150 (195/240) х 100</v>
          </cell>
          <cell r="H108">
            <v>12391</v>
          </cell>
          <cell r="I108">
            <v>1</v>
          </cell>
          <cell r="J108">
            <v>12391</v>
          </cell>
        </row>
        <row r="109">
          <cell r="B109" t="str">
            <v>ООС-0104-001078</v>
          </cell>
          <cell r="C109" t="str">
            <v>Бокс-трибуна</v>
          </cell>
          <cell r="D109">
            <v>38268</v>
          </cell>
          <cell r="E109">
            <v>10393.85</v>
          </cell>
          <cell r="F109">
            <v>1</v>
          </cell>
          <cell r="G109" t="str">
            <v xml:space="preserve">Бокс-трибуна на колесиках </v>
          </cell>
          <cell r="H109">
            <v>9876</v>
          </cell>
          <cell r="I109">
            <v>1</v>
          </cell>
          <cell r="J109">
            <v>9876</v>
          </cell>
        </row>
        <row r="110">
          <cell r="B110" t="str">
            <v>ООС-0104-001079</v>
          </cell>
          <cell r="C110" t="str">
            <v>Стол-рецешн</v>
          </cell>
          <cell r="D110">
            <v>38268</v>
          </cell>
          <cell r="E110">
            <v>14443.22</v>
          </cell>
          <cell r="F110">
            <v>1</v>
          </cell>
          <cell r="G110" t="str">
            <v>Стол рабочий</v>
          </cell>
          <cell r="H110">
            <v>15756</v>
          </cell>
          <cell r="I110">
            <v>1</v>
          </cell>
          <cell r="J110">
            <v>15756</v>
          </cell>
        </row>
        <row r="111">
          <cell r="B111" t="str">
            <v>ООС-0104-000922</v>
          </cell>
          <cell r="C111" t="str">
            <v>Ноутбук Satellite2800</v>
          </cell>
          <cell r="D111">
            <v>37894</v>
          </cell>
          <cell r="E111">
            <v>26049.67</v>
          </cell>
          <cell r="F111">
            <v>1</v>
          </cell>
          <cell r="G111" t="str">
            <v xml:space="preserve">Ноутбук Toshiba Satellite 2805-S302 </v>
          </cell>
          <cell r="H111">
            <v>13875</v>
          </cell>
          <cell r="I111">
            <v>1</v>
          </cell>
          <cell r="J111">
            <v>13875</v>
          </cell>
        </row>
        <row r="112">
          <cell r="B112" t="str">
            <v>ООС-0104-000924</v>
          </cell>
          <cell r="C112" t="str">
            <v>Сис.блок+монитор Sonic</v>
          </cell>
          <cell r="D112">
            <v>37894</v>
          </cell>
          <cell r="E112">
            <v>9945.64</v>
          </cell>
          <cell r="F112">
            <v>1</v>
          </cell>
          <cell r="G112" t="str">
            <v xml:space="preserve">Celeron/900 MHz/64 Mb/20000 Mb/SVGA Hewlett-Packard ПК HP Vectra VL400, Cel 900MHz, 64MB PC133 SDRAM, 20GB, AGP и Монитор 15'' ViewSonic E651 </v>
          </cell>
          <cell r="H112">
            <v>15097</v>
          </cell>
          <cell r="I112">
            <v>1</v>
          </cell>
          <cell r="J112">
            <v>15097</v>
          </cell>
        </row>
        <row r="113">
          <cell r="B113" t="str">
            <v>ООС-0104-000923</v>
          </cell>
          <cell r="C113" t="str">
            <v>Сис.блок+монитор HP Vek</v>
          </cell>
          <cell r="D113">
            <v>37894</v>
          </cell>
          <cell r="E113">
            <v>17967.55</v>
          </cell>
          <cell r="F113">
            <v>1</v>
          </cell>
          <cell r="G113" t="str">
            <v xml:space="preserve">Celeron/900 MHz/64 Mb/20000 Mb/SVGA Hewlett-Packard ПК HP Vectra VL400, Cel 900MHz, 64MB PC133 SDRAM, 20GB, AGP и Монитор 15'' ViewSonic E651 </v>
          </cell>
          <cell r="H113">
            <v>15097</v>
          </cell>
          <cell r="I113">
            <v>1</v>
          </cell>
          <cell r="J113">
            <v>15097</v>
          </cell>
        </row>
        <row r="114">
          <cell r="B114" t="str">
            <v>ООС-0104-000914</v>
          </cell>
          <cell r="C114" t="str">
            <v>Ноутбук Satel 1800-S203</v>
          </cell>
          <cell r="D114">
            <v>37894</v>
          </cell>
          <cell r="E114">
            <v>28190.61</v>
          </cell>
          <cell r="F114">
            <v>1</v>
          </cell>
          <cell r="G114" t="str">
            <v xml:space="preserve">Ноутбук Toshiba Satellite 2805-S302 </v>
          </cell>
          <cell r="H114">
            <v>13875</v>
          </cell>
          <cell r="I114">
            <v>1</v>
          </cell>
          <cell r="J114">
            <v>13875</v>
          </cell>
        </row>
        <row r="115">
          <cell r="B115" t="str">
            <v>ООС-0104-000915</v>
          </cell>
          <cell r="C115" t="str">
            <v>Принтер HP LJ1100</v>
          </cell>
          <cell r="D115">
            <v>37894</v>
          </cell>
          <cell r="E115">
            <v>8315.43</v>
          </cell>
          <cell r="F115">
            <v>1</v>
          </cell>
          <cell r="G115" t="str">
            <v xml:space="preserve">Принтер HP LaserJet 1100 (C4224A) 8 стр/ мин </v>
          </cell>
          <cell r="H115">
            <v>8653</v>
          </cell>
          <cell r="I115">
            <v>1</v>
          </cell>
          <cell r="J115">
            <v>8653</v>
          </cell>
        </row>
        <row r="116">
          <cell r="B116" t="str">
            <v>ООС-0104-000913</v>
          </cell>
          <cell r="C116" t="str">
            <v>Ноутбук Satel SPA40</v>
          </cell>
          <cell r="D116">
            <v>37894</v>
          </cell>
          <cell r="E116">
            <v>23448.27</v>
          </cell>
          <cell r="F116">
            <v>1</v>
          </cell>
          <cell r="G116" t="str">
            <v xml:space="preserve">TOSHIBA Satellite PRO SPA40-RU </v>
          </cell>
          <cell r="H116">
            <v>33757</v>
          </cell>
          <cell r="I116">
            <v>1</v>
          </cell>
          <cell r="J116">
            <v>33757</v>
          </cell>
        </row>
        <row r="117">
          <cell r="B117" t="str">
            <v>ООС-0104-000916</v>
          </cell>
          <cell r="C117" t="str">
            <v>Сис.блок+монитор HP</v>
          </cell>
          <cell r="D117">
            <v>37894</v>
          </cell>
          <cell r="E117">
            <v>23487.52</v>
          </cell>
          <cell r="F117">
            <v>1</v>
          </cell>
          <cell r="G117" t="str">
            <v xml:space="preserve">Celeron/900 MHz/64 Mb/20000 Mb/SVGA Hewlett-Packard ПК HP Vectra VL400, Cel 900MHz, 64MB PC133 SDRAM, 20GB, AGP и Монитор 15'' ViewSonic E651 </v>
          </cell>
          <cell r="H117">
            <v>15097</v>
          </cell>
          <cell r="I117">
            <v>1</v>
          </cell>
          <cell r="J117">
            <v>15097</v>
          </cell>
        </row>
        <row r="118">
          <cell r="B118" t="str">
            <v>ООС-0104-000918</v>
          </cell>
          <cell r="C118" t="str">
            <v>Сис.блок+монитор VL410</v>
          </cell>
          <cell r="D118">
            <v>37894</v>
          </cell>
          <cell r="E118">
            <v>19155.14</v>
          </cell>
          <cell r="F118">
            <v>1</v>
          </cell>
          <cell r="G118" t="str">
            <v xml:space="preserve">Pentium 4/1600 MHz/256 Mb/20000 Mb/SVGA Hewlett-Packard HP Vectra VL410 DT P4-1.6GHz 256M20G CDLAN W98 (P5974A и ViewSonic VP 140 TCO'99 </v>
          </cell>
          <cell r="H118">
            <v>26008</v>
          </cell>
          <cell r="I118">
            <v>1</v>
          </cell>
          <cell r="J118">
            <v>26008</v>
          </cell>
        </row>
        <row r="119">
          <cell r="B119" t="str">
            <v>ООС-0104-000917</v>
          </cell>
          <cell r="C119" t="str">
            <v>Сис.блок+монитор HP</v>
          </cell>
          <cell r="D119">
            <v>37894</v>
          </cell>
          <cell r="E119">
            <v>22438.959999999999</v>
          </cell>
          <cell r="F119">
            <v>1</v>
          </cell>
          <cell r="G119" t="str">
            <v xml:space="preserve">Celeron/900 MHz/64 Mb/20000 Mb/SVGA Hewlett-Packard ПК HP Vectra VL400, Cel 900MHz, 64MB PC133 SDRAM, 20GB, AGP и Монитор 15'' ViewSonic E651 </v>
          </cell>
          <cell r="H119">
            <v>15097</v>
          </cell>
          <cell r="I119">
            <v>1</v>
          </cell>
          <cell r="J119">
            <v>15097</v>
          </cell>
        </row>
        <row r="120">
          <cell r="B120" t="str">
            <v>ООС-0104-000920</v>
          </cell>
          <cell r="C120" t="str">
            <v>Сис.блок+монитор HP</v>
          </cell>
          <cell r="D120">
            <v>37894</v>
          </cell>
          <cell r="E120">
            <v>19155.14</v>
          </cell>
          <cell r="F120">
            <v>1</v>
          </cell>
          <cell r="G120" t="str">
            <v xml:space="preserve">Celeron/900 MHz/64 Mb/20000 Mb/SVGA Hewlett-Packard ПК HP Vectra VL400, Cel 900MHz, 64MB PC133 SDRAM, 20GB, AGP и Монитор 15'' ViewSonic E651 </v>
          </cell>
          <cell r="H120">
            <v>15097</v>
          </cell>
          <cell r="I120">
            <v>1</v>
          </cell>
          <cell r="J120">
            <v>15097</v>
          </cell>
        </row>
        <row r="121">
          <cell r="B121" t="str">
            <v>ООС-0104-001031</v>
          </cell>
          <cell r="C121" t="str">
            <v>Сис. Блок P4</v>
          </cell>
          <cell r="D121">
            <v>38223</v>
          </cell>
          <cell r="E121">
            <v>33348.080000000002</v>
          </cell>
          <cell r="F121">
            <v>1</v>
          </cell>
          <cell r="G121" t="str">
            <v>Pentium 4/1700 MHz/256 Mb/40000 Mb/SVGA Hewlett-Packard Vectra VL420 MT P4-1.7 40GB 256MB i845 NVidiaGF2 32MB DVD (P5768A</v>
          </cell>
          <cell r="H121">
            <v>25374</v>
          </cell>
          <cell r="I121">
            <v>1</v>
          </cell>
          <cell r="J121">
            <v>25374</v>
          </cell>
        </row>
        <row r="122">
          <cell r="B122" t="str">
            <v>ООС-0104-001032</v>
          </cell>
          <cell r="C122" t="str">
            <v>Сис. Блок P4</v>
          </cell>
          <cell r="D122">
            <v>38223</v>
          </cell>
          <cell r="E122">
            <v>33348.080000000002</v>
          </cell>
          <cell r="F122">
            <v>1</v>
          </cell>
          <cell r="G122" t="str">
            <v>Pentium 4/1700 MHz/256 Mb/40000 Mb/SVGA Hewlett-Packard Vectra VL420 MT P4-1.7 40GB 256MB i845 NVidiaGF2 32MB DVD (P5768A</v>
          </cell>
          <cell r="H122">
            <v>25374</v>
          </cell>
          <cell r="I122">
            <v>1</v>
          </cell>
          <cell r="J122">
            <v>25374</v>
          </cell>
        </row>
        <row r="123">
          <cell r="B123" t="str">
            <v>ООС-0104-001033</v>
          </cell>
          <cell r="C123" t="str">
            <v>Сис. Блок P4</v>
          </cell>
          <cell r="D123">
            <v>38223</v>
          </cell>
          <cell r="E123">
            <v>33348.080000000002</v>
          </cell>
          <cell r="F123">
            <v>1</v>
          </cell>
          <cell r="G123" t="str">
            <v>Pentium 4/1700 MHz/256 Mb/40000 Mb/SVGA Hewlett-Packard Vectra VL420 MT P4-1.7 40GB 256MB i845 NVidiaGF2 32MB DVD (P5768A</v>
          </cell>
          <cell r="H123">
            <v>25374</v>
          </cell>
          <cell r="I123">
            <v>1</v>
          </cell>
          <cell r="J123">
            <v>25374</v>
          </cell>
        </row>
        <row r="124">
          <cell r="B124" t="str">
            <v>ООС-0104-001034</v>
          </cell>
          <cell r="C124" t="str">
            <v>Сис. Блок P4</v>
          </cell>
          <cell r="D124">
            <v>38223</v>
          </cell>
          <cell r="E124">
            <v>33348.080000000002</v>
          </cell>
          <cell r="F124">
            <v>1</v>
          </cell>
          <cell r="G124" t="str">
            <v>Pentium 4/1700 MHz/256 Mb/40000 Mb/SVGA Hewlett-Packard Vectra VL420 MT P4-1.7 40GB 256MB i845 NVidiaGF2 32MB DVD (P5768A</v>
          </cell>
          <cell r="H124">
            <v>25374</v>
          </cell>
          <cell r="I124">
            <v>1</v>
          </cell>
          <cell r="J124">
            <v>25374</v>
          </cell>
        </row>
        <row r="125">
          <cell r="B125" t="str">
            <v>ООС-0104-001035</v>
          </cell>
          <cell r="C125" t="str">
            <v>Монитор VP191</v>
          </cell>
          <cell r="D125">
            <v>38223</v>
          </cell>
          <cell r="E125">
            <v>33348.080000000002</v>
          </cell>
          <cell r="F125">
            <v>1</v>
          </cell>
          <cell r="G125" t="str">
            <v xml:space="preserve">Монитор ViewSonic 19" TFT VP191b </v>
          </cell>
          <cell r="H125">
            <v>14580</v>
          </cell>
          <cell r="I125">
            <v>1</v>
          </cell>
          <cell r="J125">
            <v>14580</v>
          </cell>
        </row>
        <row r="126">
          <cell r="B126" t="str">
            <v>ООС-0104-001036</v>
          </cell>
          <cell r="C126" t="str">
            <v>Монитор VP191</v>
          </cell>
          <cell r="D126">
            <v>38223</v>
          </cell>
          <cell r="E126">
            <v>33348.080000000002</v>
          </cell>
          <cell r="F126">
            <v>1</v>
          </cell>
          <cell r="G126" t="str">
            <v xml:space="preserve">Монитор ViewSonic 19" TFT VP191b </v>
          </cell>
          <cell r="H126">
            <v>14580</v>
          </cell>
          <cell r="I126">
            <v>1</v>
          </cell>
          <cell r="J126">
            <v>14580</v>
          </cell>
        </row>
        <row r="127">
          <cell r="B127" t="str">
            <v>ООС-0104-001037</v>
          </cell>
          <cell r="C127" t="str">
            <v>Монитор VP191</v>
          </cell>
          <cell r="D127">
            <v>38223</v>
          </cell>
          <cell r="E127">
            <v>33348.080000000002</v>
          </cell>
          <cell r="F127">
            <v>1</v>
          </cell>
          <cell r="G127" t="str">
            <v xml:space="preserve">Монитор ViewSonic 19" TFT VP191b </v>
          </cell>
          <cell r="H127">
            <v>14580</v>
          </cell>
          <cell r="I127">
            <v>1</v>
          </cell>
          <cell r="J127">
            <v>14580</v>
          </cell>
        </row>
        <row r="128">
          <cell r="B128" t="str">
            <v>ООС-0104-00111</v>
          </cell>
          <cell r="C128" t="str">
            <v>Батарейка SUPS1400</v>
          </cell>
          <cell r="D128">
            <v>36433</v>
          </cell>
          <cell r="E128">
            <v>921.47</v>
          </cell>
          <cell r="F128">
            <v>1</v>
          </cell>
          <cell r="G128" t="str">
            <v>SU1000XLINET</v>
          </cell>
          <cell r="H128">
            <v>4421</v>
          </cell>
          <cell r="I128">
            <v>1</v>
          </cell>
          <cell r="J128">
            <v>4421</v>
          </cell>
        </row>
        <row r="129">
          <cell r="B129" t="str">
            <v>ООС-0104-00112</v>
          </cell>
          <cell r="C129" t="str">
            <v>Ноутбук Satell 4030CDT</v>
          </cell>
          <cell r="D129">
            <v>36433</v>
          </cell>
          <cell r="E129">
            <v>3761.91</v>
          </cell>
          <cell r="F129">
            <v>1</v>
          </cell>
          <cell r="G129" t="str">
            <v xml:space="preserve">Toshiba Satellite Pro 4600 </v>
          </cell>
          <cell r="H129">
            <v>14746</v>
          </cell>
          <cell r="I129">
            <v>1</v>
          </cell>
          <cell r="J129">
            <v>14746</v>
          </cell>
        </row>
        <row r="130">
          <cell r="B130" t="str">
            <v>ООС-0104-000118</v>
          </cell>
          <cell r="C130" t="str">
            <v>Сис.блок VEi8</v>
          </cell>
          <cell r="D130">
            <v>36464</v>
          </cell>
          <cell r="E130">
            <v>3164.47</v>
          </cell>
          <cell r="F130">
            <v>1</v>
          </cell>
          <cell r="G130" t="str">
            <v xml:space="preserve">DT P450-64Mb/4.3Gb/MATROX G200 AGP 8mB/3Com Lan      HPD8172N </v>
          </cell>
          <cell r="H130">
            <v>24009</v>
          </cell>
          <cell r="I130">
            <v>1</v>
          </cell>
          <cell r="J130">
            <v>24009</v>
          </cell>
        </row>
        <row r="131">
          <cell r="B131" t="str">
            <v>ООС-0104-000196</v>
          </cell>
          <cell r="C131" t="str">
            <v>Сис. Блок VEi7</v>
          </cell>
          <cell r="D131">
            <v>38091</v>
          </cell>
          <cell r="E131">
            <v>4899.0200000000004</v>
          </cell>
          <cell r="F131">
            <v>1</v>
          </cell>
          <cell r="G131" t="str">
            <v xml:space="preserve">HP Vectra VEi7 DT C466-32M4.3G/S95      HPD8126A </v>
          </cell>
          <cell r="H131">
            <v>16955</v>
          </cell>
          <cell r="I131">
            <v>1</v>
          </cell>
          <cell r="J131">
            <v>16955</v>
          </cell>
        </row>
        <row r="132">
          <cell r="B132" t="str">
            <v>ООС-010-000214</v>
          </cell>
          <cell r="C132" t="str">
            <v>Ноутбук Satell 2650XDVD</v>
          </cell>
          <cell r="D132">
            <v>36651</v>
          </cell>
          <cell r="E132">
            <v>15186.6</v>
          </cell>
          <cell r="F132">
            <v>1</v>
          </cell>
          <cell r="G132" t="str">
            <v xml:space="preserve">Ноутбук Toshiba Satellite 2805-S302 </v>
          </cell>
          <cell r="H132">
            <v>13875</v>
          </cell>
          <cell r="I132">
            <v>1</v>
          </cell>
          <cell r="J132">
            <v>13875</v>
          </cell>
        </row>
        <row r="133">
          <cell r="B133" t="str">
            <v>ООС-0104-000334</v>
          </cell>
          <cell r="C133" t="str">
            <v>Сис.блок VL400</v>
          </cell>
          <cell r="D133">
            <v>36852</v>
          </cell>
          <cell r="E133">
            <v>5362.29</v>
          </cell>
          <cell r="F133">
            <v>1</v>
          </cell>
          <cell r="G133" t="str">
            <v>Celeron/900 MHz/64 Mb/20000 Mb/SVGA Hewlett-Packard ПК HP Vectra VL400, Cel 900MHz, 64MB PC133 SDRAM, 20GB, AGP</v>
          </cell>
          <cell r="H133">
            <v>11076</v>
          </cell>
          <cell r="I133">
            <v>1</v>
          </cell>
          <cell r="J133">
            <v>11076</v>
          </cell>
        </row>
        <row r="134">
          <cell r="B134" t="str">
            <v>ООС-0104-000731</v>
          </cell>
          <cell r="C134" t="str">
            <v>Ноутбук Satell 2805-S402</v>
          </cell>
          <cell r="D134">
            <v>37622</v>
          </cell>
          <cell r="E134">
            <v>44540.47</v>
          </cell>
          <cell r="F134">
            <v>1</v>
          </cell>
          <cell r="G134" t="str">
            <v xml:space="preserve">Ноутбук Toshiba Satellite 2805-S402 </v>
          </cell>
          <cell r="H134">
            <v>39953</v>
          </cell>
          <cell r="I134">
            <v>1</v>
          </cell>
          <cell r="J134">
            <v>39953</v>
          </cell>
        </row>
        <row r="135">
          <cell r="B135" t="str">
            <v>ООС-0104-000802</v>
          </cell>
          <cell r="C135" t="str">
            <v>Ноутбук Satell 2805-S503</v>
          </cell>
          <cell r="D135">
            <v>37742</v>
          </cell>
          <cell r="E135">
            <v>0</v>
          </cell>
          <cell r="F135">
            <v>1</v>
          </cell>
          <cell r="G135" t="str">
            <v>Ноутбук Toshiba Satellite 2805-S503</v>
          </cell>
          <cell r="H135">
            <v>60710</v>
          </cell>
          <cell r="I135">
            <v>1</v>
          </cell>
          <cell r="J135">
            <v>60710</v>
          </cell>
        </row>
        <row r="136">
          <cell r="B136" t="str">
            <v>ООС-0104-000853</v>
          </cell>
          <cell r="C136" t="str">
            <v>Ноутбук OmnibookXE3</v>
          </cell>
          <cell r="D136">
            <v>37742</v>
          </cell>
          <cell r="E136">
            <v>39006.67</v>
          </cell>
          <cell r="F136">
            <v>1</v>
          </cell>
          <cell r="G136" t="str">
            <v>HP OmniBook XE3 Pentium III</v>
          </cell>
          <cell r="H136">
            <v>18593</v>
          </cell>
          <cell r="I136">
            <v>1</v>
          </cell>
          <cell r="J136">
            <v>18593</v>
          </cell>
        </row>
        <row r="137">
          <cell r="B137" t="str">
            <v>ООС-0105-000119</v>
          </cell>
          <cell r="C137" t="str">
            <v>Напол. Монтаж.шкаф42U</v>
          </cell>
          <cell r="D137">
            <v>36464</v>
          </cell>
          <cell r="E137">
            <v>10780.32</v>
          </cell>
          <cell r="F137">
            <v>1</v>
          </cell>
          <cell r="G137" t="str">
            <v xml:space="preserve">Серверный шкаф, 42U </v>
          </cell>
          <cell r="H137">
            <v>56259</v>
          </cell>
          <cell r="I137">
            <v>1</v>
          </cell>
          <cell r="J137">
            <v>56259</v>
          </cell>
        </row>
        <row r="138">
          <cell r="B138" t="str">
            <v>ООС-0105-000450</v>
          </cell>
          <cell r="C138" t="str">
            <v>Шкаф А722К000с полками</v>
          </cell>
          <cell r="D138">
            <v>37254</v>
          </cell>
          <cell r="E138">
            <v>0</v>
          </cell>
          <cell r="F138">
            <v>1</v>
          </cell>
          <cell r="G138" t="str">
            <v xml:space="preserve">Шкаф BISLEY (Великобритания), А-722, 1649х457х914 мм </v>
          </cell>
          <cell r="H138">
            <v>10305</v>
          </cell>
          <cell r="I138">
            <v>1</v>
          </cell>
          <cell r="J138">
            <v>10305</v>
          </cell>
        </row>
        <row r="139">
          <cell r="B139" t="str">
            <v>ООС-0104-000931</v>
          </cell>
          <cell r="C139" t="str">
            <v>Ноутбук Satell 5205-S705</v>
          </cell>
          <cell r="D139">
            <v>37935</v>
          </cell>
          <cell r="E139">
            <v>55557.71</v>
          </cell>
          <cell r="F139">
            <v>1</v>
          </cell>
          <cell r="G139" t="str">
            <v xml:space="preserve">Ноутбук Satelite 5205-S705 PS522U-XK00QR </v>
          </cell>
          <cell r="H139">
            <v>44681</v>
          </cell>
          <cell r="I139">
            <v>1</v>
          </cell>
          <cell r="J139">
            <v>44681</v>
          </cell>
        </row>
        <row r="140">
          <cell r="B140" t="str">
            <v>ООС-0104-000222</v>
          </cell>
          <cell r="C140" t="str">
            <v>Ноутбук satell 2715XDVD</v>
          </cell>
          <cell r="D140">
            <v>36683</v>
          </cell>
          <cell r="E140">
            <v>13134.04</v>
          </cell>
          <cell r="F140">
            <v>1</v>
          </cell>
          <cell r="G140" t="str">
            <v xml:space="preserve">Ноутбук Toshiba Satellite 2805-S302 </v>
          </cell>
          <cell r="H140">
            <v>13875</v>
          </cell>
          <cell r="I140">
            <v>1</v>
          </cell>
          <cell r="J140">
            <v>13875</v>
          </cell>
        </row>
        <row r="141">
          <cell r="B141" t="str">
            <v>ООС-0104-000223</v>
          </cell>
          <cell r="C141" t="str">
            <v>Ноутбук Satell 440 CDX</v>
          </cell>
          <cell r="D141">
            <v>36685</v>
          </cell>
          <cell r="E141">
            <v>16036.5</v>
          </cell>
          <cell r="F141">
            <v>1</v>
          </cell>
          <cell r="G141" t="str">
            <v xml:space="preserve">Toshiba Satellite Pro 4600 </v>
          </cell>
          <cell r="H141">
            <v>14746</v>
          </cell>
          <cell r="I141">
            <v>1</v>
          </cell>
          <cell r="J141">
            <v>14746</v>
          </cell>
        </row>
        <row r="142">
          <cell r="B142" t="str">
            <v>ООС-0104-000227</v>
          </cell>
          <cell r="C142" t="str">
            <v>Сис. Блок HPCLJ8550N</v>
          </cell>
          <cell r="D142">
            <v>36682</v>
          </cell>
          <cell r="E142">
            <v>75877.83</v>
          </cell>
          <cell r="F142">
            <v>1</v>
          </cell>
          <cell r="G142" t="str">
            <v>Системный блок ES Server 1</v>
          </cell>
          <cell r="H142">
            <v>60508</v>
          </cell>
          <cell r="I142">
            <v>1</v>
          </cell>
          <cell r="J142">
            <v>60508</v>
          </cell>
        </row>
        <row r="143">
          <cell r="B143" t="str">
            <v>ООС-0104-000228</v>
          </cell>
          <cell r="C143" t="str">
            <v>Сис. Блок Vei8</v>
          </cell>
          <cell r="D143">
            <v>36682</v>
          </cell>
          <cell r="E143">
            <v>6376.88</v>
          </cell>
          <cell r="F143">
            <v>1</v>
          </cell>
          <cell r="G143" t="str">
            <v xml:space="preserve">DT P450-64Mb/4.3Gb/MATROX G200 AGP 8mB/3Com Lan      HPD8172N </v>
          </cell>
          <cell r="H143">
            <v>24009</v>
          </cell>
          <cell r="I143">
            <v>1</v>
          </cell>
          <cell r="J143">
            <v>24009</v>
          </cell>
        </row>
        <row r="144">
          <cell r="B144" t="str">
            <v>ООС-0104-000229</v>
          </cell>
          <cell r="C144" t="str">
            <v>Сис. Блок Vei8</v>
          </cell>
          <cell r="D144">
            <v>36682</v>
          </cell>
          <cell r="E144">
            <v>6376.88</v>
          </cell>
          <cell r="F144">
            <v>1</v>
          </cell>
          <cell r="G144" t="str">
            <v xml:space="preserve">DT P450-64Mb/4.3Gb/MATROX G200 AGP 8mB/3Com Lan      HPD8172N </v>
          </cell>
          <cell r="H144">
            <v>24009</v>
          </cell>
          <cell r="I144">
            <v>1</v>
          </cell>
          <cell r="J144">
            <v>24009</v>
          </cell>
        </row>
        <row r="145">
          <cell r="B145" t="str">
            <v>ООС-0104-000230</v>
          </cell>
          <cell r="C145" t="str">
            <v>Сис. Блок Vei8</v>
          </cell>
          <cell r="D145">
            <v>36682</v>
          </cell>
          <cell r="E145">
            <v>6376.88</v>
          </cell>
          <cell r="F145">
            <v>1</v>
          </cell>
          <cell r="G145" t="str">
            <v xml:space="preserve">DT P450-64Mb/4.3Gb/MATROX G200 AGP 8mB/3Com Lan      HPD8172N </v>
          </cell>
          <cell r="H145">
            <v>24009</v>
          </cell>
          <cell r="I145">
            <v>1</v>
          </cell>
          <cell r="J145">
            <v>24009</v>
          </cell>
        </row>
        <row r="146">
          <cell r="B146" t="str">
            <v>ООС-0104-000231</v>
          </cell>
          <cell r="C146" t="str">
            <v>Сис. Блок Vei8</v>
          </cell>
          <cell r="D146">
            <v>36682</v>
          </cell>
          <cell r="E146">
            <v>6376.88</v>
          </cell>
          <cell r="F146">
            <v>1</v>
          </cell>
          <cell r="G146" t="str">
            <v xml:space="preserve">DT P450-64Mb/4.3Gb/MATROX G200 AGP 8mB/3Com Lan      HPD8172N </v>
          </cell>
          <cell r="H146">
            <v>24009</v>
          </cell>
          <cell r="I146">
            <v>1</v>
          </cell>
          <cell r="J146">
            <v>24009</v>
          </cell>
        </row>
        <row r="147">
          <cell r="B147" t="str">
            <v>ООС-0104-000298</v>
          </cell>
          <cell r="C147" t="str">
            <v>Принтер HPLJ4050N</v>
          </cell>
          <cell r="D147">
            <v>36708</v>
          </cell>
          <cell r="E147">
            <v>18199.98</v>
          </cell>
          <cell r="F147">
            <v>1</v>
          </cell>
          <cell r="G147" t="str">
            <v xml:space="preserve">HP LaserJet 4050N (C4253A) A4 16 стр/ мин сетевой 1200dpi </v>
          </cell>
          <cell r="H147">
            <v>44522</v>
          </cell>
          <cell r="I147">
            <v>1</v>
          </cell>
          <cell r="J147">
            <v>44522</v>
          </cell>
        </row>
        <row r="148">
          <cell r="B148" t="str">
            <v>ООС-0104-000300</v>
          </cell>
          <cell r="C148" t="str">
            <v>Сис. Блок Vei7</v>
          </cell>
          <cell r="D148">
            <v>36735</v>
          </cell>
          <cell r="E148">
            <v>10126.120000000001</v>
          </cell>
          <cell r="F148">
            <v>1</v>
          </cell>
          <cell r="G148" t="str">
            <v xml:space="preserve">HP Vectra VEi7 DT C466-32M4.3G/S95      HPD8126A </v>
          </cell>
          <cell r="H148">
            <v>16955</v>
          </cell>
          <cell r="I148">
            <v>1</v>
          </cell>
          <cell r="J148">
            <v>16955</v>
          </cell>
        </row>
        <row r="149">
          <cell r="B149" t="str">
            <v>ООС-0104-000306</v>
          </cell>
          <cell r="C149" t="str">
            <v>Серверный шкаф</v>
          </cell>
          <cell r="D149">
            <v>36755</v>
          </cell>
          <cell r="E149">
            <v>7988.04</v>
          </cell>
          <cell r="F149">
            <v>1</v>
          </cell>
          <cell r="G149" t="str">
            <v>Шкаф серверный настенный IMnet 310 &lt;287080K&gt; 17U, 570*815*400мм</v>
          </cell>
          <cell r="H149">
            <v>8612</v>
          </cell>
          <cell r="I149">
            <v>1</v>
          </cell>
          <cell r="J149">
            <v>8612</v>
          </cell>
        </row>
        <row r="150">
          <cell r="B150" t="str">
            <v>ООС-0104-000310</v>
          </cell>
          <cell r="C150" t="str">
            <v>Сис. Блок Vei7</v>
          </cell>
          <cell r="D150">
            <v>36770</v>
          </cell>
          <cell r="E150">
            <v>4876.1000000000004</v>
          </cell>
          <cell r="F150">
            <v>1</v>
          </cell>
          <cell r="G150" t="str">
            <v xml:space="preserve">HP Vectra VEi7 DT C466-32M4.3G/S95      HPD8126A </v>
          </cell>
          <cell r="H150">
            <v>16955</v>
          </cell>
          <cell r="I150">
            <v>1</v>
          </cell>
          <cell r="J150">
            <v>16955</v>
          </cell>
        </row>
        <row r="151">
          <cell r="B151" t="str">
            <v>ООС-0104-000345</v>
          </cell>
          <cell r="C151" t="str">
            <v>Сетевое обор.SSwitch6000</v>
          </cell>
          <cell r="D151">
            <v>36861</v>
          </cell>
          <cell r="E151">
            <v>32470.49</v>
          </cell>
          <cell r="F151">
            <v>1</v>
          </cell>
          <cell r="G151" t="str">
            <v xml:space="preserve">Модуль Catalyst 6000 16-port Gig-Ethernet Mod. </v>
          </cell>
          <cell r="H151">
            <v>13475</v>
          </cell>
          <cell r="I151">
            <v>1</v>
          </cell>
          <cell r="J151">
            <v>13475</v>
          </cell>
        </row>
        <row r="152">
          <cell r="B152" t="str">
            <v>ООС-0104-000346</v>
          </cell>
          <cell r="C152" t="str">
            <v>Сис. Блок HP-7</v>
          </cell>
          <cell r="D152">
            <v>36879</v>
          </cell>
          <cell r="E152">
            <v>19395.04</v>
          </cell>
          <cell r="F152">
            <v>1</v>
          </cell>
          <cell r="G152" t="str">
            <v xml:space="preserve">HP Vectra VEi7 DT C466-32M4.3G/S95      HPD8126A </v>
          </cell>
          <cell r="H152">
            <v>16955</v>
          </cell>
          <cell r="I152">
            <v>1</v>
          </cell>
          <cell r="J152">
            <v>16955</v>
          </cell>
        </row>
        <row r="153">
          <cell r="B153" t="str">
            <v>ООС-0104-000347</v>
          </cell>
          <cell r="C153" t="str">
            <v>Сервер HP LH6000</v>
          </cell>
          <cell r="D153">
            <v>36861</v>
          </cell>
          <cell r="E153">
            <v>817937.86</v>
          </cell>
          <cell r="F153">
            <v>1</v>
          </cell>
          <cell r="G153" t="str">
            <v>HP NetServer LH6000R PIIIX-900 2MB HDD 20Gb U3 (Up to 6 CPU/256MB/no HDD/Raid/HS/CD/FastEth)</v>
          </cell>
          <cell r="H153">
            <v>227871</v>
          </cell>
          <cell r="I153">
            <v>1</v>
          </cell>
          <cell r="J153">
            <v>227871</v>
          </cell>
        </row>
        <row r="154">
          <cell r="B154" t="str">
            <v>ООС-0104-000462</v>
          </cell>
          <cell r="C154" t="str">
            <v>Телеф.Panasonic KT-ST15</v>
          </cell>
          <cell r="D154">
            <v>37165</v>
          </cell>
          <cell r="E154">
            <v>0</v>
          </cell>
          <cell r="F154">
            <v>1</v>
          </cell>
          <cell r="G154" t="str">
            <v xml:space="preserve">Телефон Panasonic KX-TCD512RU </v>
          </cell>
          <cell r="H154">
            <v>5096</v>
          </cell>
          <cell r="I154">
            <v>1</v>
          </cell>
          <cell r="J154">
            <v>5096</v>
          </cell>
        </row>
        <row r="155">
          <cell r="B155" t="str">
            <v>ООС-0104-000548</v>
          </cell>
          <cell r="C155" t="str">
            <v>Сетевое обор.Cabletron</v>
          </cell>
          <cell r="D155">
            <v>37316</v>
          </cell>
          <cell r="E155">
            <v>97177.73</v>
          </cell>
          <cell r="F155">
            <v>1</v>
          </cell>
          <cell r="G155" t="str">
            <v xml:space="preserve">SWITCH 24 ports CABLETRON VH2402SM / 10/100 / + mgm modyle </v>
          </cell>
          <cell r="H155">
            <v>32898</v>
          </cell>
          <cell r="I155">
            <v>1</v>
          </cell>
          <cell r="J155">
            <v>32898</v>
          </cell>
        </row>
        <row r="156">
          <cell r="B156" t="str">
            <v>ООС-0104-000561</v>
          </cell>
          <cell r="C156" t="str">
            <v>Сис. Блок VL420</v>
          </cell>
          <cell r="D156">
            <v>37316</v>
          </cell>
          <cell r="E156">
            <v>11491.04</v>
          </cell>
          <cell r="F156">
            <v>1</v>
          </cell>
          <cell r="G156" t="str">
            <v>Pentium 4/1700 MHz/256 Mb/40000 Mb/SVGA Hewlett-Packard Vectra VL420 MT P4-1.7 40GB 256MB i845 NVidiaGF2 32MB DVD (P5768A</v>
          </cell>
          <cell r="H156">
            <v>25374</v>
          </cell>
          <cell r="I156">
            <v>1</v>
          </cell>
          <cell r="J156">
            <v>25374</v>
          </cell>
        </row>
        <row r="157">
          <cell r="B157" t="str">
            <v>ООС-0104-000562</v>
          </cell>
          <cell r="C157" t="str">
            <v>Сис. Блок VL420</v>
          </cell>
          <cell r="D157">
            <v>37316</v>
          </cell>
          <cell r="E157">
            <v>11491.04</v>
          </cell>
          <cell r="F157">
            <v>1</v>
          </cell>
          <cell r="G157" t="str">
            <v>Pentium 4/1700 MHz/256 Mb/40000 Mb/SVGA Hewlett-Packard Vectra VL420 MT P4-1.7 40GB 256MB i845 NVidiaGF2 32MB DVD (P5768A</v>
          </cell>
          <cell r="H157">
            <v>25374</v>
          </cell>
          <cell r="I157">
            <v>1</v>
          </cell>
          <cell r="J157">
            <v>25374</v>
          </cell>
        </row>
        <row r="158">
          <cell r="B158" t="str">
            <v>ООС-0104-000564</v>
          </cell>
          <cell r="C158" t="str">
            <v>Сис. Блок VL420</v>
          </cell>
          <cell r="D158">
            <v>37316</v>
          </cell>
          <cell r="E158">
            <v>11491.04</v>
          </cell>
          <cell r="F158">
            <v>1</v>
          </cell>
          <cell r="G158" t="str">
            <v>Pentium 4/1700 MHz/256 Mb/40000 Mb/SVGA Hewlett-Packard Vectra VL420 MT P4-1.7 40GB 256MB i845 NVidiaGF2 32MB DVD (P5768A</v>
          </cell>
          <cell r="H158">
            <v>25374</v>
          </cell>
          <cell r="I158">
            <v>1</v>
          </cell>
          <cell r="J158">
            <v>25374</v>
          </cell>
        </row>
        <row r="159">
          <cell r="B159" t="str">
            <v>ООС-0104-000610</v>
          </cell>
          <cell r="C159" t="str">
            <v>Принтер HPLJ2200</v>
          </cell>
          <cell r="D159">
            <v>37622</v>
          </cell>
          <cell r="E159">
            <v>13221.12</v>
          </cell>
          <cell r="F159">
            <v>1</v>
          </cell>
          <cell r="G159" t="str">
            <v>Принтер лазерный LaserJet 2200DN A4</v>
          </cell>
          <cell r="H159">
            <v>25928</v>
          </cell>
          <cell r="I159">
            <v>1</v>
          </cell>
          <cell r="J159">
            <v>25928</v>
          </cell>
        </row>
        <row r="160">
          <cell r="B160" t="str">
            <v>ООС-0104-000730</v>
          </cell>
          <cell r="C160" t="str">
            <v xml:space="preserve">Сервер Москва </v>
          </cell>
          <cell r="D160">
            <v>37622</v>
          </cell>
          <cell r="E160">
            <v>584452.55000000005</v>
          </cell>
          <cell r="F160">
            <v>1</v>
          </cell>
          <cell r="G160" t="str">
            <v>HP NetServer LH6000R PIIIX-900 2MB HDD 20Gb U3 (Up to 6 CPU/256MB/no HDD/Raid/HS/CD/FastEth)</v>
          </cell>
          <cell r="H160">
            <v>227871</v>
          </cell>
          <cell r="I160">
            <v>1</v>
          </cell>
          <cell r="J160">
            <v>227871</v>
          </cell>
        </row>
        <row r="161">
          <cell r="B161" t="str">
            <v>ООС-0104-000732</v>
          </cell>
          <cell r="C161" t="str">
            <v>Сис. Блок VI410</v>
          </cell>
          <cell r="D161">
            <v>37622</v>
          </cell>
          <cell r="E161">
            <v>11605.71</v>
          </cell>
          <cell r="F161">
            <v>1</v>
          </cell>
          <cell r="G161" t="str">
            <v>Pentium 4/1600 MHz/256 Mb/20000 Mb/SVGA Hewlett-Packard HP Vectra VL410 DT P4-1.6GHz 256M20G CDLAN W98 (P5974A</v>
          </cell>
          <cell r="H161">
            <v>19894</v>
          </cell>
          <cell r="I161">
            <v>1</v>
          </cell>
          <cell r="J161">
            <v>19894</v>
          </cell>
        </row>
        <row r="162">
          <cell r="B162" t="str">
            <v>ООС-0104-000764</v>
          </cell>
          <cell r="C162" t="str">
            <v>Копп. Апп. MB9408</v>
          </cell>
          <cell r="D162">
            <v>37656</v>
          </cell>
          <cell r="E162">
            <v>11935.14</v>
          </cell>
          <cell r="F162">
            <v>1</v>
          </cell>
          <cell r="G162" t="str">
            <v xml:space="preserve">Копир. аппарат MB-8115, цифровой </v>
          </cell>
          <cell r="H162">
            <v>36864</v>
          </cell>
          <cell r="I162">
            <v>1</v>
          </cell>
          <cell r="J162">
            <v>36864</v>
          </cell>
        </row>
        <row r="163">
          <cell r="B163" t="str">
            <v>ООС-0104-000777</v>
          </cell>
          <cell r="C163" t="str">
            <v>Сис. Блок+монитор VL400</v>
          </cell>
          <cell r="D163">
            <v>37681</v>
          </cell>
          <cell r="E163">
            <v>15833.01</v>
          </cell>
          <cell r="F163">
            <v>1</v>
          </cell>
          <cell r="G163" t="str">
            <v xml:space="preserve">Celeron/900 MHz/64 Mb/20000 Mb/SVGA Hewlett-Packard ПК HP Vectra VL400, Cel 900MHz, 64MB PC133 SDRAM, 20GB, AGP и ViewSonic VP 140 TCO'99 </v>
          </cell>
          <cell r="H163">
            <v>17190</v>
          </cell>
          <cell r="I163">
            <v>1</v>
          </cell>
          <cell r="J163">
            <v>17190</v>
          </cell>
        </row>
        <row r="164">
          <cell r="B164" t="str">
            <v>ООС-0104-000778</v>
          </cell>
          <cell r="C164" t="str">
            <v>Сис. Блок Vei7</v>
          </cell>
          <cell r="D164">
            <v>37681</v>
          </cell>
          <cell r="E164">
            <v>19331.580000000002</v>
          </cell>
          <cell r="F164">
            <v>1</v>
          </cell>
          <cell r="G164" t="str">
            <v xml:space="preserve">HP Vectra VEi7 DT C466-32M4.3G/S95      HPD8126A </v>
          </cell>
          <cell r="H164">
            <v>16955</v>
          </cell>
          <cell r="I164">
            <v>1</v>
          </cell>
          <cell r="J164">
            <v>16955</v>
          </cell>
        </row>
        <row r="165">
          <cell r="B165" t="str">
            <v>ООС-0104-000779</v>
          </cell>
          <cell r="C165" t="str">
            <v>Сис. Блок+монитор VL400</v>
          </cell>
          <cell r="D165">
            <v>37681</v>
          </cell>
          <cell r="E165">
            <v>19331.439999999999</v>
          </cell>
          <cell r="F165">
            <v>1</v>
          </cell>
          <cell r="G165" t="str">
            <v xml:space="preserve">Celeron/900 MHz/64 Mb/20000 Mb/SVGA Hewlett-Packard ПК HP Vectra VL400, Cel 900MHz, 64MB PC133 SDRAM, 20GB, AGP и ViewSonic VP 140 TCO'99 </v>
          </cell>
          <cell r="H165">
            <v>17190</v>
          </cell>
          <cell r="I165">
            <v>1</v>
          </cell>
          <cell r="J165">
            <v>17190</v>
          </cell>
        </row>
        <row r="166">
          <cell r="B166" t="str">
            <v>ООС-0104-000792</v>
          </cell>
          <cell r="C166" t="str">
            <v>Сервер HP LH2</v>
          </cell>
          <cell r="D166">
            <v>37712</v>
          </cell>
          <cell r="E166">
            <v>173481.85</v>
          </cell>
          <cell r="F166">
            <v>2</v>
          </cell>
          <cell r="G166" t="str">
            <v xml:space="preserve">Сервер HP NetServer LH3000r PIII/1000 M1 U3-SCSI </v>
          </cell>
          <cell r="H166">
            <v>106780</v>
          </cell>
          <cell r="I166">
            <v>1</v>
          </cell>
          <cell r="J166">
            <v>213560</v>
          </cell>
        </row>
        <row r="167">
          <cell r="B167" t="str">
            <v>ООС-0104-000937</v>
          </cell>
          <cell r="C167" t="str">
            <v>Факс Panasonic FL503</v>
          </cell>
          <cell r="D167">
            <v>37949</v>
          </cell>
          <cell r="E167">
            <v>8057.26</v>
          </cell>
          <cell r="F167">
            <v>1</v>
          </cell>
          <cell r="G167" t="str">
            <v xml:space="preserve">Факс Panasonic KX-FL503RU </v>
          </cell>
          <cell r="H167">
            <v>8729</v>
          </cell>
          <cell r="I167">
            <v>1</v>
          </cell>
          <cell r="J167">
            <v>8729</v>
          </cell>
        </row>
        <row r="168">
          <cell r="B168" t="str">
            <v>ООС-0104-000939</v>
          </cell>
          <cell r="C168" t="str">
            <v>Ноутбук satell SA20-S203</v>
          </cell>
          <cell r="D168">
            <v>37972</v>
          </cell>
          <cell r="E168">
            <v>58748.84</v>
          </cell>
          <cell r="F168">
            <v>1</v>
          </cell>
          <cell r="G168" t="str">
            <v xml:space="preserve">Satellite A30-213 </v>
          </cell>
          <cell r="H168">
            <v>41129</v>
          </cell>
          <cell r="I168">
            <v>1</v>
          </cell>
          <cell r="J168">
            <v>41129</v>
          </cell>
        </row>
        <row r="169">
          <cell r="B169" t="str">
            <v>ООС-0104-000940</v>
          </cell>
          <cell r="C169" t="str">
            <v>Ноутбук Satell SA10-S703</v>
          </cell>
          <cell r="D169">
            <v>37980</v>
          </cell>
          <cell r="E169">
            <v>35379.93</v>
          </cell>
          <cell r="F169">
            <v>1</v>
          </cell>
          <cell r="G169" t="str">
            <v>Ноутбук TOSHIBA SATELLITE SA10-S703</v>
          </cell>
          <cell r="H169">
            <v>54059</v>
          </cell>
          <cell r="I169">
            <v>1</v>
          </cell>
          <cell r="J169">
            <v>54059</v>
          </cell>
        </row>
        <row r="170">
          <cell r="B170" t="str">
            <v>ООС-0104-000941</v>
          </cell>
          <cell r="C170" t="str">
            <v>Ноутбук Satell SA30-213</v>
          </cell>
          <cell r="D170">
            <v>37980</v>
          </cell>
          <cell r="E170">
            <v>37049.57</v>
          </cell>
          <cell r="F170">
            <v>1</v>
          </cell>
          <cell r="G170" t="str">
            <v xml:space="preserve">Satellite A30-213 </v>
          </cell>
          <cell r="H170">
            <v>41129</v>
          </cell>
          <cell r="I170">
            <v>1</v>
          </cell>
          <cell r="J170">
            <v>41129</v>
          </cell>
        </row>
        <row r="171">
          <cell r="B171" t="str">
            <v>ООС-0104-000967</v>
          </cell>
          <cell r="C171" t="str">
            <v>Сис. Блок HP E-PC</v>
          </cell>
          <cell r="D171">
            <v>38034</v>
          </cell>
          <cell r="E171">
            <v>16793.12</v>
          </cell>
          <cell r="F171">
            <v>1</v>
          </cell>
          <cell r="G171" t="str">
            <v xml:space="preserve">HP Vectra VEi7 DT C466-32M4.3G/S95      HPD8126A </v>
          </cell>
          <cell r="H171">
            <v>16955</v>
          </cell>
          <cell r="I171">
            <v>1</v>
          </cell>
          <cell r="J171">
            <v>16955</v>
          </cell>
        </row>
        <row r="172">
          <cell r="B172" t="str">
            <v>ООС-0104-000968</v>
          </cell>
          <cell r="C172" t="str">
            <v>Сис. Блок Vei8</v>
          </cell>
          <cell r="D172">
            <v>38034</v>
          </cell>
          <cell r="E172">
            <v>16793.12</v>
          </cell>
          <cell r="F172">
            <v>1</v>
          </cell>
          <cell r="G172" t="str">
            <v xml:space="preserve">DT P450-64Mb/4.3Gb/MATROX G200 AGP 8mB/3Com Lan      HPD8172N </v>
          </cell>
          <cell r="H172">
            <v>24009</v>
          </cell>
          <cell r="I172">
            <v>1</v>
          </cell>
          <cell r="J172">
            <v>24009</v>
          </cell>
        </row>
        <row r="173">
          <cell r="B173" t="str">
            <v>ООС-0104-000977</v>
          </cell>
          <cell r="C173" t="str">
            <v>Ноутбук satell Pro4340</v>
          </cell>
          <cell r="D173">
            <v>38076</v>
          </cell>
          <cell r="E173">
            <v>28212.2</v>
          </cell>
          <cell r="F173">
            <v>1</v>
          </cell>
          <cell r="G173" t="str">
            <v xml:space="preserve">Toshiba Satellite Pro 4600 </v>
          </cell>
          <cell r="H173">
            <v>14746</v>
          </cell>
          <cell r="I173">
            <v>1</v>
          </cell>
          <cell r="J173">
            <v>14746</v>
          </cell>
        </row>
        <row r="174">
          <cell r="B174" t="str">
            <v>ООС-0104-000978</v>
          </cell>
          <cell r="C174" t="str">
            <v>Ноутбук Satell Pro440CDX</v>
          </cell>
          <cell r="D174">
            <v>38076</v>
          </cell>
          <cell r="E174">
            <v>28212.2</v>
          </cell>
          <cell r="F174">
            <v>1</v>
          </cell>
          <cell r="G174" t="str">
            <v xml:space="preserve">Toshiba Satellite Pro 4600 </v>
          </cell>
          <cell r="H174">
            <v>14746</v>
          </cell>
          <cell r="I174">
            <v>1</v>
          </cell>
          <cell r="J174">
            <v>14746</v>
          </cell>
        </row>
        <row r="175">
          <cell r="B175" t="str">
            <v>ООС-0104-000979</v>
          </cell>
          <cell r="C175" t="str">
            <v>Ноутбук Satell Pro 4600</v>
          </cell>
          <cell r="D175">
            <v>38076</v>
          </cell>
          <cell r="E175">
            <v>28212.2</v>
          </cell>
          <cell r="F175">
            <v>1</v>
          </cell>
          <cell r="G175" t="str">
            <v xml:space="preserve">Toshiba Satellite Pro 4600 </v>
          </cell>
          <cell r="H175">
            <v>14746</v>
          </cell>
          <cell r="I175">
            <v>1</v>
          </cell>
          <cell r="J175">
            <v>14746</v>
          </cell>
        </row>
        <row r="176">
          <cell r="B176" t="str">
            <v>ООС-0104-000980</v>
          </cell>
          <cell r="C176" t="str">
            <v>Ноутбук Satell S5100-501</v>
          </cell>
          <cell r="D176">
            <v>38076</v>
          </cell>
          <cell r="E176">
            <v>28212.2</v>
          </cell>
          <cell r="F176">
            <v>1</v>
          </cell>
          <cell r="G176" t="str">
            <v>Ноутбук Satelite 5205-S505 PS520U-31P1RV</v>
          </cell>
          <cell r="H176">
            <v>32452</v>
          </cell>
          <cell r="I176">
            <v>1</v>
          </cell>
          <cell r="J176">
            <v>32452</v>
          </cell>
        </row>
        <row r="177">
          <cell r="B177" t="str">
            <v>ООС-0104-000997</v>
          </cell>
          <cell r="C177" t="str">
            <v>Сетевое обор. Cisco2950</v>
          </cell>
          <cell r="D177">
            <v>38077</v>
          </cell>
          <cell r="E177">
            <v>15608.41</v>
          </cell>
          <cell r="F177">
            <v>1</v>
          </cell>
          <cell r="G177" t="str">
            <v xml:space="preserve">Catalyst 2950, 48 10/100 with 2 GBIC slots, Enhanced Image </v>
          </cell>
          <cell r="H177">
            <v>92864</v>
          </cell>
          <cell r="I177">
            <v>1</v>
          </cell>
          <cell r="J177">
            <v>92864</v>
          </cell>
        </row>
        <row r="178">
          <cell r="B178" t="str">
            <v>ООС-0104-000999</v>
          </cell>
          <cell r="C178" t="str">
            <v>Сетевое обор. Cisco2620</v>
          </cell>
          <cell r="D178">
            <v>38077</v>
          </cell>
          <cell r="E178">
            <v>38178.71</v>
          </cell>
          <cell r="F178">
            <v>1</v>
          </cell>
          <cell r="G178" t="str">
            <v>Cisco 2620 10/100 Ethernet Router w/2 WIC Slots &amp; 1 Network Module Slot (Service 5)</v>
          </cell>
          <cell r="H178">
            <v>53428</v>
          </cell>
          <cell r="I178">
            <v>1</v>
          </cell>
          <cell r="J178">
            <v>53428</v>
          </cell>
        </row>
        <row r="179">
          <cell r="B179" t="str">
            <v>ООС-0104-001000</v>
          </cell>
          <cell r="C179" t="str">
            <v>сис. Блок HP D330</v>
          </cell>
          <cell r="D179">
            <v>38092</v>
          </cell>
          <cell r="E179">
            <v>19228.89</v>
          </cell>
          <cell r="F179">
            <v>1</v>
          </cell>
          <cell r="G179" t="str">
            <v xml:space="preserve">FSC SCENIC E300 Cel D330 </v>
          </cell>
          <cell r="H179">
            <v>12534</v>
          </cell>
          <cell r="I179">
            <v>1</v>
          </cell>
          <cell r="J179">
            <v>12534</v>
          </cell>
        </row>
        <row r="180">
          <cell r="B180" t="str">
            <v>ООС-0104-001001</v>
          </cell>
          <cell r="C180" t="str">
            <v>сис. Блок HP D330</v>
          </cell>
          <cell r="D180">
            <v>38092</v>
          </cell>
          <cell r="E180">
            <v>19228.89</v>
          </cell>
          <cell r="F180">
            <v>1</v>
          </cell>
          <cell r="G180" t="str">
            <v xml:space="preserve">FSC SCENIC E300 Cel D330 </v>
          </cell>
          <cell r="H180">
            <v>12534</v>
          </cell>
          <cell r="I180">
            <v>1</v>
          </cell>
          <cell r="J180">
            <v>12534</v>
          </cell>
        </row>
        <row r="181">
          <cell r="B181" t="str">
            <v>ООС-0104-001002</v>
          </cell>
          <cell r="C181" t="str">
            <v>Процессор WS MI5i</v>
          </cell>
          <cell r="D181">
            <v>38103</v>
          </cell>
          <cell r="E181">
            <v>17797.68</v>
          </cell>
          <cell r="F181">
            <v>4</v>
          </cell>
          <cell r="G181" t="str">
            <v>CPU Xeon DP 3066MHz / 512KB / 533 MHz (for iWC2, iWS2, iHH2)</v>
          </cell>
          <cell r="H181">
            <v>16931</v>
          </cell>
          <cell r="I181">
            <v>1</v>
          </cell>
          <cell r="J181">
            <v>67724</v>
          </cell>
        </row>
        <row r="182">
          <cell r="B182" t="str">
            <v>ООС-0104-001009</v>
          </cell>
          <cell r="C182" t="str">
            <v>Сетевое обор. Cisko2620V</v>
          </cell>
          <cell r="D182">
            <v>38108</v>
          </cell>
          <cell r="E182">
            <v>31148.23</v>
          </cell>
          <cell r="F182">
            <v>1</v>
          </cell>
          <cell r="G182" t="str">
            <v>Cisco 2620 10/100 Ethernet Router w/2 WIC Slots &amp; 1 Network Module Slot (Service 5)</v>
          </cell>
          <cell r="H182">
            <v>53428</v>
          </cell>
          <cell r="I182">
            <v>1</v>
          </cell>
          <cell r="J182">
            <v>53428</v>
          </cell>
        </row>
        <row r="183">
          <cell r="B183" t="str">
            <v>ООС-0104-001022</v>
          </cell>
          <cell r="C183" t="str">
            <v>Сервер  HPDL380R03</v>
          </cell>
          <cell r="D183">
            <v>38223</v>
          </cell>
          <cell r="E183">
            <v>85484.86</v>
          </cell>
          <cell r="F183">
            <v>1</v>
          </cell>
          <cell r="G183" t="str">
            <v xml:space="preserve">Сервер 352529-421 ProLiant DL380R03 X3.2GHz/533 2Mb </v>
          </cell>
          <cell r="H183">
            <v>85974</v>
          </cell>
          <cell r="I183">
            <v>1</v>
          </cell>
          <cell r="J183">
            <v>85974</v>
          </cell>
        </row>
        <row r="184">
          <cell r="B184" t="str">
            <v>ООС-0104-001023</v>
          </cell>
          <cell r="C184" t="str">
            <v>Сервер HPDL380R03</v>
          </cell>
          <cell r="D184">
            <v>38223</v>
          </cell>
          <cell r="E184">
            <v>85484.86</v>
          </cell>
          <cell r="F184">
            <v>1</v>
          </cell>
          <cell r="G184" t="str">
            <v xml:space="preserve">Сервер 352529-421 ProLiant DL380R03 X3.2GHz/533 2Mb </v>
          </cell>
          <cell r="H184">
            <v>85974</v>
          </cell>
          <cell r="I184">
            <v>1</v>
          </cell>
          <cell r="J184">
            <v>85974</v>
          </cell>
        </row>
        <row r="185">
          <cell r="B185" t="str">
            <v>ООС-0104-001024</v>
          </cell>
          <cell r="C185" t="str">
            <v>Модуль памяти 1GB</v>
          </cell>
          <cell r="D185">
            <v>38223</v>
          </cell>
          <cell r="E185">
            <v>16109.88</v>
          </cell>
          <cell r="F185">
            <v>1</v>
          </cell>
          <cell r="G185" t="str">
            <v xml:space="preserve">Модуль памяти 1Gb компакт-флеш Kingston, 12х </v>
          </cell>
          <cell r="H185">
            <v>16297</v>
          </cell>
          <cell r="I185">
            <v>1</v>
          </cell>
          <cell r="J185">
            <v>16297</v>
          </cell>
        </row>
        <row r="186">
          <cell r="B186" t="str">
            <v>ООС-0104-001026</v>
          </cell>
          <cell r="C186" t="str">
            <v>Стриммер Hpдля серверов</v>
          </cell>
          <cell r="D186">
            <v>38223</v>
          </cell>
          <cell r="E186">
            <v>33348.080000000002</v>
          </cell>
          <cell r="F186">
            <v>1</v>
          </cell>
          <cell r="G186" t="str">
            <v>Стриммер StorageWorks Dat 20/40 внутренний SCSI черный для серверов ProLiant</v>
          </cell>
          <cell r="H186">
            <v>26186</v>
          </cell>
          <cell r="I186">
            <v>1</v>
          </cell>
          <cell r="J186">
            <v>26186</v>
          </cell>
        </row>
        <row r="187">
          <cell r="B187" t="str">
            <v>ООС-0104-001027</v>
          </cell>
          <cell r="C187" t="str">
            <v>Монитор VP171s17</v>
          </cell>
          <cell r="D187">
            <v>38223</v>
          </cell>
          <cell r="E187">
            <v>32607.01</v>
          </cell>
          <cell r="F187">
            <v>1</v>
          </cell>
          <cell r="G187" t="str">
            <v>Монитор ViewSonic TFT VP171S 17" DVI</v>
          </cell>
          <cell r="H187">
            <v>11231</v>
          </cell>
          <cell r="I187">
            <v>1</v>
          </cell>
          <cell r="J187">
            <v>11231</v>
          </cell>
        </row>
        <row r="188">
          <cell r="B188" t="str">
            <v>ООС-0104-001028</v>
          </cell>
          <cell r="C188" t="str">
            <v>Монитор VP171s17</v>
          </cell>
          <cell r="D188">
            <v>38223</v>
          </cell>
          <cell r="E188">
            <v>32607.01</v>
          </cell>
          <cell r="F188">
            <v>1</v>
          </cell>
          <cell r="G188" t="str">
            <v>Монитор ViewSonic TFT VP171S 17" DVI</v>
          </cell>
          <cell r="H188">
            <v>11231</v>
          </cell>
          <cell r="I188">
            <v>1</v>
          </cell>
          <cell r="J188">
            <v>11231</v>
          </cell>
        </row>
        <row r="189">
          <cell r="B189" t="str">
            <v>ООС-0104-001029</v>
          </cell>
          <cell r="C189" t="str">
            <v>Монитор VP171s17</v>
          </cell>
          <cell r="D189">
            <v>38223</v>
          </cell>
          <cell r="E189">
            <v>32607.01</v>
          </cell>
          <cell r="F189">
            <v>1</v>
          </cell>
          <cell r="G189" t="str">
            <v>Монитор ViewSonic TFT VP171S 17" DVI</v>
          </cell>
          <cell r="H189">
            <v>11231</v>
          </cell>
          <cell r="I189">
            <v>1</v>
          </cell>
          <cell r="J189">
            <v>11231</v>
          </cell>
        </row>
        <row r="190">
          <cell r="B190" t="str">
            <v>ООС-0104-001039</v>
          </cell>
          <cell r="C190" t="str">
            <v>Кондиционер WSA 073BE</v>
          </cell>
          <cell r="D190">
            <v>38223</v>
          </cell>
          <cell r="E190">
            <v>14754.09</v>
          </cell>
          <cell r="F190">
            <v>1</v>
          </cell>
          <cell r="G190" t="str">
            <v xml:space="preserve">Hyundai WSA-073BE </v>
          </cell>
          <cell r="H190">
            <v>15756</v>
          </cell>
          <cell r="I190">
            <v>1</v>
          </cell>
          <cell r="J190">
            <v>15756</v>
          </cell>
        </row>
        <row r="191">
          <cell r="B191" t="str">
            <v>ООС-0104-000704</v>
          </cell>
          <cell r="C191" t="str">
            <v>Ноутбук  Satell 5005-S504</v>
          </cell>
          <cell r="D191">
            <v>37622</v>
          </cell>
          <cell r="E191">
            <v>51082.04</v>
          </cell>
          <cell r="F191">
            <v>1</v>
          </cell>
          <cell r="G191" t="str">
            <v xml:space="preserve">Ноутбук Satelite 5205-S705 PS522U-XK00QR </v>
          </cell>
          <cell r="H191">
            <v>44681</v>
          </cell>
          <cell r="I191">
            <v>1</v>
          </cell>
          <cell r="J191">
            <v>44681</v>
          </cell>
        </row>
        <row r="192">
          <cell r="B192" t="str">
            <v>ООС-0104-000708</v>
          </cell>
          <cell r="C192" t="str">
            <v>Сис. Блок VI420</v>
          </cell>
          <cell r="D192">
            <v>37622</v>
          </cell>
          <cell r="E192">
            <v>15184.59</v>
          </cell>
          <cell r="F192">
            <v>1</v>
          </cell>
          <cell r="G192" t="str">
            <v>Pentium 4/1700 MHz/256 Mb/40000 Mb/SVGA Hewlett-Packard Vectra VL420 MT P4-1.7 40GB 256MB i845 NVidiaGF2 32MB DVD (P5768A</v>
          </cell>
          <cell r="H192">
            <v>25374</v>
          </cell>
          <cell r="I192">
            <v>1</v>
          </cell>
          <cell r="J192">
            <v>25374</v>
          </cell>
        </row>
        <row r="193">
          <cell r="B193" t="str">
            <v>ООС-0104-001040</v>
          </cell>
          <cell r="C193" t="str">
            <v>Сис. Блок P4-2.4/512/40GB</v>
          </cell>
          <cell r="D193">
            <v>38254</v>
          </cell>
          <cell r="E193">
            <v>11190.49</v>
          </cell>
          <cell r="F193">
            <v>1</v>
          </cell>
          <cell r="G193" t="str">
            <v>Pentium 4/1700 MHz/256 Mb/40000 Mb/SVGA Hewlett-Packard Vectra VL420 MT P4-1.7 40GB 256MB i845 NVidiaGF2 32MB DVD (P5768A</v>
          </cell>
          <cell r="H193">
            <v>25374</v>
          </cell>
          <cell r="I193">
            <v>1</v>
          </cell>
          <cell r="J193">
            <v>25374</v>
          </cell>
        </row>
        <row r="194">
          <cell r="B194" t="str">
            <v>ООС-0105-000371</v>
          </cell>
          <cell r="C194" t="str">
            <v>Шкаф А722К000</v>
          </cell>
          <cell r="D194">
            <v>36922</v>
          </cell>
          <cell r="E194">
            <v>0</v>
          </cell>
          <cell r="F194">
            <v>1</v>
          </cell>
          <cell r="G194" t="str">
            <v xml:space="preserve">Шкаф BISLEY (Великобритания), А-722, 1649х457х914 мм </v>
          </cell>
          <cell r="H194">
            <v>10305</v>
          </cell>
          <cell r="I194">
            <v>1</v>
          </cell>
          <cell r="J194">
            <v>10305</v>
          </cell>
        </row>
        <row r="195">
          <cell r="B195" t="str">
            <v>ООС-0105-000372</v>
          </cell>
          <cell r="C195" t="str">
            <v>Шкаф А722К000</v>
          </cell>
          <cell r="D195">
            <v>36922</v>
          </cell>
          <cell r="E195">
            <v>0</v>
          </cell>
          <cell r="F195">
            <v>1</v>
          </cell>
          <cell r="G195" t="str">
            <v xml:space="preserve">Шкаф BISLEY (Великобритания), А-722, 1649х457х914 мм </v>
          </cell>
          <cell r="H195">
            <v>10305</v>
          </cell>
          <cell r="I195">
            <v>1</v>
          </cell>
          <cell r="J195">
            <v>10305</v>
          </cell>
        </row>
        <row r="196">
          <cell r="B196" t="str">
            <v>ООС-0105-000373</v>
          </cell>
          <cell r="C196" t="str">
            <v>Шкаф А722К000</v>
          </cell>
          <cell r="D196">
            <v>36922</v>
          </cell>
          <cell r="E196">
            <v>0</v>
          </cell>
          <cell r="F196">
            <v>1</v>
          </cell>
          <cell r="G196" t="str">
            <v xml:space="preserve">Шкаф BISLEY (Великобритания), А-722, 1649х457х914 мм </v>
          </cell>
          <cell r="H196">
            <v>10305</v>
          </cell>
          <cell r="I196">
            <v>1</v>
          </cell>
          <cell r="J196">
            <v>10305</v>
          </cell>
        </row>
        <row r="197">
          <cell r="B197" t="str">
            <v>ООС-0105-000374</v>
          </cell>
          <cell r="C197" t="str">
            <v>Шкаф А722К000</v>
          </cell>
          <cell r="D197">
            <v>36922</v>
          </cell>
          <cell r="E197">
            <v>0</v>
          </cell>
          <cell r="F197">
            <v>1</v>
          </cell>
          <cell r="G197" t="str">
            <v xml:space="preserve">Шкаф BISLEY (Великобритания), А-722, 1649х457х914 мм </v>
          </cell>
          <cell r="H197">
            <v>10305</v>
          </cell>
          <cell r="I197">
            <v>1</v>
          </cell>
          <cell r="J197">
            <v>10305</v>
          </cell>
        </row>
        <row r="198">
          <cell r="B198" t="str">
            <v>ООС-0105-000426</v>
          </cell>
          <cell r="C198" t="str">
            <v>Сейф Айко 702</v>
          </cell>
          <cell r="D198">
            <v>36983</v>
          </cell>
          <cell r="E198">
            <v>35537.46</v>
          </cell>
          <cell r="F198">
            <v>1</v>
          </cell>
          <cell r="G198" t="str">
            <v xml:space="preserve">Сейф AIKO 702.EL </v>
          </cell>
          <cell r="H198">
            <v>21409</v>
          </cell>
          <cell r="I198">
            <v>1</v>
          </cell>
          <cell r="J198">
            <v>21409</v>
          </cell>
        </row>
        <row r="199">
          <cell r="B199" t="str">
            <v>ООС-0104-000104</v>
          </cell>
          <cell r="C199" t="str">
            <v>Сис. Блок Vei8</v>
          </cell>
          <cell r="D199">
            <v>36370</v>
          </cell>
          <cell r="E199">
            <v>1588.76</v>
          </cell>
          <cell r="F199">
            <v>1</v>
          </cell>
          <cell r="G199" t="str">
            <v xml:space="preserve">DT P450-64Mb/4.3Gb/MATROX G200 AGP 8mB/3Com Lan      HPD8172N </v>
          </cell>
          <cell r="H199">
            <v>24009</v>
          </cell>
          <cell r="I199">
            <v>1</v>
          </cell>
          <cell r="J199">
            <v>24009</v>
          </cell>
        </row>
        <row r="200">
          <cell r="B200" t="str">
            <v>ООС-0104-000158</v>
          </cell>
          <cell r="C200" t="str">
            <v>Рольставни А-55 ,1.875</v>
          </cell>
          <cell r="D200">
            <v>36515</v>
          </cell>
          <cell r="E200">
            <v>13422.44</v>
          </cell>
          <cell r="F200">
            <v>1</v>
          </cell>
          <cell r="G200" t="str">
            <v>Рольставни ARZ-E (электрические)</v>
          </cell>
          <cell r="H200">
            <v>9853</v>
          </cell>
          <cell r="I200">
            <v>1</v>
          </cell>
          <cell r="J200">
            <v>9853</v>
          </cell>
        </row>
        <row r="201">
          <cell r="B201" t="str">
            <v>ООС-0104-000159</v>
          </cell>
          <cell r="C201" t="str">
            <v>Рольставни А-55 ,1.930</v>
          </cell>
          <cell r="D201">
            <v>36515</v>
          </cell>
          <cell r="E201">
            <v>17610.71</v>
          </cell>
          <cell r="F201">
            <v>1</v>
          </cell>
          <cell r="G201" t="str">
            <v>Рольставни ARZ-E (электрические)</v>
          </cell>
          <cell r="H201">
            <v>9853</v>
          </cell>
          <cell r="I201">
            <v>1</v>
          </cell>
          <cell r="J201">
            <v>9853</v>
          </cell>
        </row>
        <row r="202">
          <cell r="B202" t="str">
            <v>ООС-0104-000163</v>
          </cell>
          <cell r="C202" t="str">
            <v>Сис. Блок vei8</v>
          </cell>
          <cell r="D202">
            <v>36518</v>
          </cell>
          <cell r="E202">
            <v>2056.9299999999998</v>
          </cell>
          <cell r="F202">
            <v>1</v>
          </cell>
          <cell r="G202" t="str">
            <v xml:space="preserve">DT P450-64Mb/4.3Gb/MATROX G200 AGP 8mB/3Com Lan      HPD8172N </v>
          </cell>
          <cell r="H202">
            <v>24009</v>
          </cell>
          <cell r="I202">
            <v>1</v>
          </cell>
          <cell r="J202">
            <v>24009</v>
          </cell>
        </row>
        <row r="203">
          <cell r="B203" t="str">
            <v>ООС-0104-000164</v>
          </cell>
          <cell r="C203" t="str">
            <v>Сис. Блок Vei7</v>
          </cell>
          <cell r="D203">
            <v>36518</v>
          </cell>
          <cell r="E203">
            <v>2056.9299999999998</v>
          </cell>
          <cell r="F203">
            <v>1</v>
          </cell>
          <cell r="G203" t="str">
            <v xml:space="preserve">HP Vectra VEi7 DT C466-32M4.3G/S95      HPD8126A </v>
          </cell>
          <cell r="H203">
            <v>16955</v>
          </cell>
          <cell r="I203">
            <v>1</v>
          </cell>
          <cell r="J203">
            <v>16955</v>
          </cell>
        </row>
        <row r="204">
          <cell r="B204" t="str">
            <v>ООС-0104-000200</v>
          </cell>
          <cell r="C204" t="str">
            <v>Сис. Блок+монитор HPBas</v>
          </cell>
          <cell r="D204">
            <v>36622</v>
          </cell>
          <cell r="E204">
            <v>4664.2299999999996</v>
          </cell>
          <cell r="F204">
            <v>1</v>
          </cell>
          <cell r="G204" t="str">
            <v xml:space="preserve">Celeron/900 MHz/64 Mb/20000 Mb/SVGA Hewlett-Packard ПК HP Vectra VL400, Cel 900MHz, 64MB PC133 SDRAM, 20GB, AGP и Монитор 15'' ViewSonic E651 </v>
          </cell>
          <cell r="H204">
            <v>15097</v>
          </cell>
          <cell r="I204">
            <v>1</v>
          </cell>
          <cell r="J204">
            <v>15097</v>
          </cell>
        </row>
        <row r="205">
          <cell r="B205" t="str">
            <v>ООС-0104-000201</v>
          </cell>
          <cell r="C205" t="str">
            <v>Сис. Блок+мон.HPVSG655</v>
          </cell>
          <cell r="D205">
            <v>36622</v>
          </cell>
          <cell r="E205">
            <v>4664.2299999999996</v>
          </cell>
          <cell r="F205">
            <v>1</v>
          </cell>
          <cell r="G205" t="str">
            <v xml:space="preserve">Celeron/900 MHz/64 Mb/20000 Mb/SVGA Hewlett-Packard ПК HP Vectra VL400, Cel 900MHz, 64MB PC133 SDRAM, 20GB, AGP и Монитор 15'' ViewSonic E651 </v>
          </cell>
          <cell r="H205">
            <v>15097</v>
          </cell>
          <cell r="I205">
            <v>1</v>
          </cell>
          <cell r="J205">
            <v>15097</v>
          </cell>
        </row>
        <row r="206">
          <cell r="B206" t="str">
            <v>ООС-0104-000287</v>
          </cell>
          <cell r="C206" t="str">
            <v>Сис. Блок Vei7</v>
          </cell>
          <cell r="D206">
            <v>36710</v>
          </cell>
          <cell r="E206">
            <v>5108.63</v>
          </cell>
          <cell r="F206">
            <v>1</v>
          </cell>
          <cell r="G206" t="str">
            <v xml:space="preserve">HP Vectra VEi7 DT C466-32M4.3G/S95      HPD8126A </v>
          </cell>
          <cell r="H206">
            <v>16955</v>
          </cell>
          <cell r="I206">
            <v>1</v>
          </cell>
          <cell r="J206">
            <v>16955</v>
          </cell>
        </row>
        <row r="207">
          <cell r="B207" t="str">
            <v>ООС-0104-000342</v>
          </cell>
          <cell r="C207" t="str">
            <v>Счетчик купюр Lauser700</v>
          </cell>
          <cell r="D207">
            <v>36831</v>
          </cell>
          <cell r="E207">
            <v>6634.76</v>
          </cell>
          <cell r="F207">
            <v>1</v>
          </cell>
          <cell r="G207" t="str">
            <v xml:space="preserve">Счетчики купюр LAURIEL J-700 ЯПОНИЯ </v>
          </cell>
          <cell r="H207">
            <v>9970</v>
          </cell>
          <cell r="I207">
            <v>1</v>
          </cell>
          <cell r="J207">
            <v>9970</v>
          </cell>
        </row>
        <row r="208">
          <cell r="B208" t="str">
            <v>ООС-0104-000458</v>
          </cell>
          <cell r="C208" t="str">
            <v>Телеф.Panasonic KT-ST15</v>
          </cell>
          <cell r="D208">
            <v>37165</v>
          </cell>
          <cell r="E208">
            <v>0</v>
          </cell>
          <cell r="F208">
            <v>1</v>
          </cell>
          <cell r="G208" t="str">
            <v xml:space="preserve">Телефон Panasonic KX-TCD512RU </v>
          </cell>
          <cell r="H208">
            <v>5096</v>
          </cell>
          <cell r="I208">
            <v>1</v>
          </cell>
          <cell r="J208">
            <v>5096</v>
          </cell>
        </row>
        <row r="209">
          <cell r="B209" t="str">
            <v>ООС-0104-000549</v>
          </cell>
          <cell r="C209" t="str">
            <v>Принтер HPLJ4100N</v>
          </cell>
          <cell r="D209">
            <v>37316</v>
          </cell>
          <cell r="E209">
            <v>18194.95</v>
          </cell>
          <cell r="F209">
            <v>1</v>
          </cell>
          <cell r="G209" t="str">
            <v xml:space="preserve">Принтер Hewlett Packard LJ 4100 LPT </v>
          </cell>
          <cell r="H209">
            <v>27043</v>
          </cell>
          <cell r="I209">
            <v>1</v>
          </cell>
          <cell r="J209">
            <v>27043</v>
          </cell>
        </row>
        <row r="210">
          <cell r="B210" t="str">
            <v>ООС-0104-000741</v>
          </cell>
          <cell r="C210" t="str">
            <v>Принтер HPLJ4050</v>
          </cell>
          <cell r="D210">
            <v>37622</v>
          </cell>
          <cell r="E210">
            <v>10814.57</v>
          </cell>
          <cell r="F210">
            <v>1</v>
          </cell>
          <cell r="G210" t="str">
            <v xml:space="preserve">HP LaserJet 4050N (C4253A) A4 16 стр/ мин сетевой 1200dpi </v>
          </cell>
          <cell r="H210">
            <v>44522</v>
          </cell>
          <cell r="I210">
            <v>1</v>
          </cell>
          <cell r="J210">
            <v>44522</v>
          </cell>
        </row>
        <row r="211">
          <cell r="B211" t="str">
            <v>ООС-0104-000756</v>
          </cell>
          <cell r="C211" t="str">
            <v>Сис. Блок VI400</v>
          </cell>
          <cell r="D211">
            <v>37622</v>
          </cell>
          <cell r="E211">
            <v>11625.3</v>
          </cell>
          <cell r="F211">
            <v>1</v>
          </cell>
          <cell r="G211" t="str">
            <v>Celeron/900 MHz/64 Mb/20000 Mb/SVGA Hewlett-Packard ПК HP Vectra VL400, Cel 900MHz, 64MB PC133 SDRAM, 20GB, AGP</v>
          </cell>
          <cell r="H211">
            <v>11076</v>
          </cell>
          <cell r="I211">
            <v>1</v>
          </cell>
          <cell r="J211">
            <v>11076</v>
          </cell>
        </row>
        <row r="212">
          <cell r="B212" t="str">
            <v>ООС-0104-000845</v>
          </cell>
          <cell r="C212" t="str">
            <v>Сис. Блок VEI7</v>
          </cell>
          <cell r="D212">
            <v>37742</v>
          </cell>
          <cell r="E212">
            <v>9441.7199999999993</v>
          </cell>
          <cell r="F212">
            <v>1</v>
          </cell>
          <cell r="G212" t="str">
            <v xml:space="preserve">HP Vectra VEi7 DT C466-32M4.3G/S95      HPD8126A </v>
          </cell>
          <cell r="H212">
            <v>16955</v>
          </cell>
          <cell r="I212">
            <v>1</v>
          </cell>
          <cell r="J212">
            <v>16955</v>
          </cell>
        </row>
        <row r="213">
          <cell r="B213" t="str">
            <v>ООС-0104-000847</v>
          </cell>
          <cell r="C213" t="str">
            <v>Сис. Блок VEi7</v>
          </cell>
          <cell r="D213">
            <v>37742</v>
          </cell>
          <cell r="E213">
            <v>7743.32</v>
          </cell>
          <cell r="F213">
            <v>1</v>
          </cell>
          <cell r="G213" t="str">
            <v xml:space="preserve">HP Vectra VEi7 DT C466-32M4.3G/S95      HPD8126A </v>
          </cell>
          <cell r="H213">
            <v>16955</v>
          </cell>
          <cell r="I213">
            <v>1</v>
          </cell>
          <cell r="J213">
            <v>16955</v>
          </cell>
        </row>
        <row r="214">
          <cell r="B214" t="str">
            <v>ООС-0104-000848</v>
          </cell>
          <cell r="C214" t="str">
            <v>Сис. Блок Vei7</v>
          </cell>
          <cell r="D214">
            <v>37742</v>
          </cell>
          <cell r="E214">
            <v>7743.32</v>
          </cell>
          <cell r="F214">
            <v>1</v>
          </cell>
          <cell r="G214" t="str">
            <v xml:space="preserve">HP Vectra VEi7 DT C466-32M4.3G/S95      HPD8126A </v>
          </cell>
          <cell r="H214">
            <v>16955</v>
          </cell>
          <cell r="I214">
            <v>1</v>
          </cell>
          <cell r="J214">
            <v>16955</v>
          </cell>
        </row>
        <row r="215">
          <cell r="B215" t="str">
            <v>ООС-0105-000499</v>
          </cell>
          <cell r="C215" t="str">
            <v>Моб. Архив Kasten</v>
          </cell>
          <cell r="D215">
            <v>37377</v>
          </cell>
          <cell r="E215">
            <v>123087.25</v>
          </cell>
          <cell r="F215">
            <v>1</v>
          </cell>
          <cell r="G215" t="str">
            <v xml:space="preserve">Мобильные стеллажи KASTEN-Mobile </v>
          </cell>
          <cell r="H215">
            <v>70313</v>
          </cell>
          <cell r="I215">
            <v>1</v>
          </cell>
          <cell r="J215">
            <v>70313</v>
          </cell>
        </row>
        <row r="216">
          <cell r="B216" t="str">
            <v>ООС-0104-001042</v>
          </cell>
          <cell r="C216" t="str">
            <v>Сис. Блок HP D230m</v>
          </cell>
          <cell r="D216">
            <v>38244</v>
          </cell>
          <cell r="E216">
            <v>10703.69</v>
          </cell>
          <cell r="F216">
            <v>1</v>
          </cell>
          <cell r="G216" t="str">
            <v xml:space="preserve">HP Compaq d230m P2.66GHz 256Mb 40Gb CD XPP </v>
          </cell>
          <cell r="H216">
            <v>19377</v>
          </cell>
          <cell r="I216">
            <v>1</v>
          </cell>
          <cell r="J216">
            <v>19377</v>
          </cell>
        </row>
        <row r="217">
          <cell r="B217" t="str">
            <v>ООС-0104-001045</v>
          </cell>
          <cell r="C217" t="str">
            <v>Сис. Блок HP D230m</v>
          </cell>
          <cell r="D217">
            <v>38244</v>
          </cell>
          <cell r="E217">
            <v>10703.69</v>
          </cell>
          <cell r="F217">
            <v>1</v>
          </cell>
          <cell r="G217" t="str">
            <v xml:space="preserve">HP Compaq d230m P2.66GHz 256Mb 40Gb CD XPP </v>
          </cell>
          <cell r="H217">
            <v>19377</v>
          </cell>
          <cell r="I217">
            <v>1</v>
          </cell>
          <cell r="J217">
            <v>19377</v>
          </cell>
        </row>
        <row r="218">
          <cell r="B218" t="str">
            <v>ООС-0104-001047</v>
          </cell>
          <cell r="C218" t="str">
            <v>Сис. Блок HP D230m</v>
          </cell>
          <cell r="D218">
            <v>38244</v>
          </cell>
          <cell r="E218">
            <v>10703.69</v>
          </cell>
          <cell r="F218">
            <v>1</v>
          </cell>
          <cell r="G218" t="str">
            <v xml:space="preserve">HP Compaq d230m P2.66GHz 256Mb 40Gb CD XPP </v>
          </cell>
          <cell r="H218">
            <v>19377</v>
          </cell>
          <cell r="I218">
            <v>1</v>
          </cell>
          <cell r="J218">
            <v>19377</v>
          </cell>
        </row>
        <row r="219">
          <cell r="B219" t="str">
            <v>ООС-0104-001050</v>
          </cell>
          <cell r="C219" t="str">
            <v>Сис. Блок HP D230m</v>
          </cell>
          <cell r="D219">
            <v>38244</v>
          </cell>
          <cell r="E219">
            <v>10703.69</v>
          </cell>
          <cell r="F219">
            <v>1</v>
          </cell>
          <cell r="G219" t="str">
            <v xml:space="preserve">HP Compaq d230m P2.66GHz 256Mb 40Gb CD XPP </v>
          </cell>
          <cell r="H219">
            <v>19377</v>
          </cell>
          <cell r="I219">
            <v>1</v>
          </cell>
          <cell r="J219">
            <v>19377</v>
          </cell>
        </row>
        <row r="220">
          <cell r="B220" t="str">
            <v>ООС-0104-001052</v>
          </cell>
          <cell r="C220" t="str">
            <v>Сис. Блок HP D230m</v>
          </cell>
          <cell r="D220">
            <v>38244</v>
          </cell>
          <cell r="E220">
            <v>10703.69</v>
          </cell>
          <cell r="F220">
            <v>1</v>
          </cell>
          <cell r="G220" t="str">
            <v xml:space="preserve">HP Compaq d230m P2.66GHz 256Mb 40Gb CD XPP </v>
          </cell>
          <cell r="H220">
            <v>19377</v>
          </cell>
          <cell r="I220">
            <v>1</v>
          </cell>
          <cell r="J220">
            <v>19377</v>
          </cell>
        </row>
        <row r="221">
          <cell r="B221" t="str">
            <v>ООС-0104-001054</v>
          </cell>
          <cell r="C221" t="str">
            <v>Сис. Блок HP D230m</v>
          </cell>
          <cell r="D221">
            <v>38244</v>
          </cell>
          <cell r="E221">
            <v>10703.69</v>
          </cell>
          <cell r="F221">
            <v>1</v>
          </cell>
          <cell r="G221" t="str">
            <v xml:space="preserve">HP Compaq d230m P2.66GHz 256Mb 40Gb CD XPP </v>
          </cell>
          <cell r="H221">
            <v>19377</v>
          </cell>
          <cell r="I221">
            <v>1</v>
          </cell>
          <cell r="J221">
            <v>19377</v>
          </cell>
        </row>
        <row r="222">
          <cell r="B222" t="str">
            <v>ООС-0104-000449</v>
          </cell>
          <cell r="C222" t="str">
            <v>Телеф.Panasonic KT-ST15</v>
          </cell>
          <cell r="D222">
            <v>37165</v>
          </cell>
          <cell r="E222">
            <v>0</v>
          </cell>
          <cell r="F222">
            <v>1</v>
          </cell>
          <cell r="G222" t="str">
            <v xml:space="preserve">Телефон Panasonic KX-TCD512RU </v>
          </cell>
          <cell r="H222">
            <v>5096</v>
          </cell>
          <cell r="I222">
            <v>1</v>
          </cell>
          <cell r="J222">
            <v>5096</v>
          </cell>
        </row>
        <row r="223">
          <cell r="B223" t="str">
            <v>ООС-0105-000418</v>
          </cell>
          <cell r="C223" t="str">
            <v>Шкаф  А722К00</v>
          </cell>
          <cell r="D223">
            <v>36965</v>
          </cell>
          <cell r="E223">
            <v>0</v>
          </cell>
          <cell r="F223">
            <v>1</v>
          </cell>
          <cell r="G223" t="str">
            <v xml:space="preserve">Шкаф BISLEY (Великобритания), А-722, 1649х457х914 мм </v>
          </cell>
          <cell r="H223">
            <v>10305</v>
          </cell>
          <cell r="I223">
            <v>1</v>
          </cell>
          <cell r="J223">
            <v>10305</v>
          </cell>
        </row>
        <row r="224">
          <cell r="B224" t="str">
            <v>ООС-0105-000419</v>
          </cell>
          <cell r="C224" t="str">
            <v>Шкаф  А722К00</v>
          </cell>
          <cell r="D224">
            <v>36965</v>
          </cell>
          <cell r="E224">
            <v>0</v>
          </cell>
          <cell r="F224">
            <v>1</v>
          </cell>
          <cell r="G224" t="str">
            <v xml:space="preserve">Шкаф BISLEY (Великобритания), А-722, 1649х457х914 мм </v>
          </cell>
          <cell r="H224">
            <v>10305</v>
          </cell>
          <cell r="I224">
            <v>1</v>
          </cell>
          <cell r="J224">
            <v>10305</v>
          </cell>
        </row>
        <row r="225">
          <cell r="B225" t="str">
            <v>ООС-0105-000420</v>
          </cell>
          <cell r="C225" t="str">
            <v>Шкаф  А722К00</v>
          </cell>
          <cell r="D225">
            <v>36965</v>
          </cell>
          <cell r="E225">
            <v>0</v>
          </cell>
          <cell r="F225">
            <v>1</v>
          </cell>
          <cell r="G225" t="str">
            <v xml:space="preserve">Шкаф BISLEY (Великобритания), А-722, 1649х457х914 мм </v>
          </cell>
          <cell r="H225">
            <v>10305</v>
          </cell>
          <cell r="I225">
            <v>1</v>
          </cell>
          <cell r="J225">
            <v>10305</v>
          </cell>
        </row>
        <row r="226">
          <cell r="B226" t="str">
            <v>ООС-0105-000422</v>
          </cell>
          <cell r="C226" t="str">
            <v>Сейф BS-T530</v>
          </cell>
          <cell r="D226">
            <v>36972</v>
          </cell>
          <cell r="E226">
            <v>0</v>
          </cell>
          <cell r="F226">
            <v>1</v>
          </cell>
          <cell r="G226" t="str">
            <v xml:space="preserve">Сейф TOPAZ BST-530 </v>
          </cell>
          <cell r="H226">
            <v>8008</v>
          </cell>
          <cell r="I226">
            <v>1</v>
          </cell>
          <cell r="J226">
            <v>8008</v>
          </cell>
        </row>
        <row r="227">
          <cell r="B227" t="str">
            <v>ООС-0104-000286</v>
          </cell>
          <cell r="C227" t="str">
            <v>Сис. Блок VEi7</v>
          </cell>
          <cell r="D227">
            <v>36719</v>
          </cell>
          <cell r="E227">
            <v>4709.32</v>
          </cell>
          <cell r="F227">
            <v>1</v>
          </cell>
          <cell r="G227" t="str">
            <v xml:space="preserve">HP Vectra VEi7 DT C466-32M4.3G/S95      HPD8126A </v>
          </cell>
          <cell r="H227">
            <v>16955</v>
          </cell>
          <cell r="I227">
            <v>1</v>
          </cell>
          <cell r="J227">
            <v>16955</v>
          </cell>
        </row>
        <row r="228">
          <cell r="B228" t="str">
            <v>ООС-0104-000297</v>
          </cell>
          <cell r="C228" t="str">
            <v>Принтер HP 4050N</v>
          </cell>
          <cell r="D228">
            <v>36708</v>
          </cell>
          <cell r="E228">
            <v>18199.98</v>
          </cell>
          <cell r="F228">
            <v>1</v>
          </cell>
          <cell r="G228" t="str">
            <v xml:space="preserve">HP LaserJet 4050N (C4253A) A4 16 стр/ мин сетевой 1200dpi </v>
          </cell>
          <cell r="H228">
            <v>44522</v>
          </cell>
          <cell r="I228">
            <v>1</v>
          </cell>
          <cell r="J228">
            <v>44522</v>
          </cell>
        </row>
        <row r="229">
          <cell r="B229" t="str">
            <v>ООС-0104-000304</v>
          </cell>
          <cell r="C229" t="str">
            <v>Принтер HP 4050N</v>
          </cell>
          <cell r="D229">
            <v>36762</v>
          </cell>
          <cell r="E229">
            <v>18006.05</v>
          </cell>
          <cell r="F229">
            <v>1</v>
          </cell>
          <cell r="G229" t="str">
            <v xml:space="preserve">HP LaserJet 4050N (C4253A) A4 16 стр/ мин сетевой 1200dpi </v>
          </cell>
          <cell r="H229">
            <v>44522</v>
          </cell>
          <cell r="I229">
            <v>1</v>
          </cell>
          <cell r="J229">
            <v>44522</v>
          </cell>
        </row>
        <row r="230">
          <cell r="B230" t="str">
            <v>ООС-0104-000305</v>
          </cell>
          <cell r="C230" t="str">
            <v>Сис. Блок VEi7</v>
          </cell>
          <cell r="D230">
            <v>36762</v>
          </cell>
          <cell r="E230">
            <v>4479.51</v>
          </cell>
          <cell r="F230">
            <v>1</v>
          </cell>
          <cell r="G230" t="str">
            <v xml:space="preserve">HP Vectra VEi7 DT C466-32M4.3G/S95      HPD8126A </v>
          </cell>
          <cell r="H230">
            <v>16955</v>
          </cell>
          <cell r="I230">
            <v>1</v>
          </cell>
          <cell r="J230">
            <v>16955</v>
          </cell>
        </row>
        <row r="231">
          <cell r="B231" t="str">
            <v>ООС-0104-000324</v>
          </cell>
          <cell r="C231" t="str">
            <v>Холодильник Bosch3501</v>
          </cell>
          <cell r="D231">
            <v>36816</v>
          </cell>
          <cell r="E231">
            <v>13028.39</v>
          </cell>
          <cell r="F231">
            <v>1</v>
          </cell>
          <cell r="G231" t="str">
            <v>Холодильник Liebherr C 3501-20 001</v>
          </cell>
          <cell r="H231">
            <v>23398</v>
          </cell>
          <cell r="I231">
            <v>1</v>
          </cell>
          <cell r="J231">
            <v>23398</v>
          </cell>
        </row>
        <row r="232">
          <cell r="B232" t="str">
            <v>ООС-0104-000408</v>
          </cell>
          <cell r="C232" t="str">
            <v>Тележка SC9</v>
          </cell>
          <cell r="D232">
            <v>36923</v>
          </cell>
          <cell r="E232">
            <v>0</v>
          </cell>
          <cell r="F232">
            <v>1</v>
          </cell>
          <cell r="G232" t="str">
            <v xml:space="preserve">Тележка гидравлическая ВТ L 2,3 T (Швеция) </v>
          </cell>
          <cell r="H232">
            <v>11800</v>
          </cell>
          <cell r="I232">
            <v>1</v>
          </cell>
          <cell r="J232">
            <v>11800</v>
          </cell>
        </row>
        <row r="233">
          <cell r="B233" t="str">
            <v>ООС-0104-000421</v>
          </cell>
          <cell r="C233" t="str">
            <v>Стремянка 8-ти ступ.</v>
          </cell>
          <cell r="D233">
            <v>36951</v>
          </cell>
          <cell r="E233">
            <v>0</v>
          </cell>
          <cell r="F233">
            <v>1</v>
          </cell>
          <cell r="G233" t="str">
            <v>Стремянка 8 ступ. "Hailo" 172см., 7,3кг.</v>
          </cell>
          <cell r="H233">
            <v>3269</v>
          </cell>
          <cell r="I233">
            <v>1</v>
          </cell>
          <cell r="J233">
            <v>3269</v>
          </cell>
        </row>
        <row r="234">
          <cell r="B234" t="str">
            <v>ООС-0104-000116</v>
          </cell>
          <cell r="C234" t="str">
            <v>Снегоочиститель CCR3000</v>
          </cell>
          <cell r="D234">
            <v>36464</v>
          </cell>
          <cell r="E234">
            <v>14274.82</v>
          </cell>
          <cell r="F234">
            <v>1</v>
          </cell>
          <cell r="G234" t="str">
            <v>СНЕГООЧИСТИТЕЛЬ</v>
          </cell>
          <cell r="H234">
            <v>27542</v>
          </cell>
          <cell r="I234">
            <v>1</v>
          </cell>
          <cell r="J234">
            <v>27542</v>
          </cell>
        </row>
        <row r="235">
          <cell r="B235" t="str">
            <v>ООС-0104-000157</v>
          </cell>
          <cell r="C235" t="str">
            <v>БатарейкаB UPS9000</v>
          </cell>
          <cell r="D235">
            <v>36495</v>
          </cell>
          <cell r="E235">
            <v>24698.9</v>
          </cell>
          <cell r="F235">
            <v>1</v>
          </cell>
          <cell r="G235" t="str">
            <v xml:space="preserve">Tecra 9000 </v>
          </cell>
          <cell r="H235">
            <v>5879</v>
          </cell>
          <cell r="I235">
            <v>1</v>
          </cell>
          <cell r="J235">
            <v>5879</v>
          </cell>
        </row>
        <row r="236">
          <cell r="B236" t="str">
            <v>ООС-0104-000331</v>
          </cell>
          <cell r="C236" t="str">
            <v>Электрокалорифер КЭ</v>
          </cell>
          <cell r="D236">
            <v>36846</v>
          </cell>
          <cell r="E236">
            <v>127615.9</v>
          </cell>
          <cell r="F236">
            <v>1</v>
          </cell>
          <cell r="G236" t="str">
            <v xml:space="preserve">электрокалорифер СФОЦ-250 </v>
          </cell>
          <cell r="H236">
            <v>57734</v>
          </cell>
          <cell r="I236">
            <v>1</v>
          </cell>
          <cell r="J236">
            <v>57734</v>
          </cell>
        </row>
        <row r="237">
          <cell r="B237" t="str">
            <v>ООС-0104-000614</v>
          </cell>
          <cell r="C237" t="str">
            <v>Частотный преобразов.</v>
          </cell>
          <cell r="D237">
            <v>37500</v>
          </cell>
          <cell r="E237">
            <v>28731.74</v>
          </cell>
          <cell r="F237">
            <v>1</v>
          </cell>
          <cell r="G237" t="str">
            <v xml:space="preserve">Частотный преобразователь ATV38 11 KW </v>
          </cell>
          <cell r="H237">
            <v>37845</v>
          </cell>
          <cell r="I237">
            <v>1</v>
          </cell>
          <cell r="J237">
            <v>37845</v>
          </cell>
        </row>
        <row r="238">
          <cell r="B238" t="str">
            <v>ООС-0104-000765</v>
          </cell>
          <cell r="C238" t="str">
            <v xml:space="preserve">Холодильная установка </v>
          </cell>
          <cell r="D238">
            <v>37653</v>
          </cell>
          <cell r="E238">
            <v>149675.1</v>
          </cell>
          <cell r="F238">
            <v>1</v>
          </cell>
          <cell r="G238" t="str">
            <v xml:space="preserve">Установка аммиачная холодильная МКВ 48 </v>
          </cell>
          <cell r="H238">
            <v>106780</v>
          </cell>
          <cell r="I238">
            <v>1</v>
          </cell>
          <cell r="J238">
            <v>106780</v>
          </cell>
        </row>
        <row r="239">
          <cell r="B239" t="str">
            <v>ООС-0104-000179</v>
          </cell>
          <cell r="C239" t="str">
            <v>Командный пульт</v>
          </cell>
          <cell r="D239">
            <v>36605</v>
          </cell>
          <cell r="E239">
            <v>57329.04</v>
          </cell>
          <cell r="F239">
            <v>1</v>
          </cell>
          <cell r="G239" t="str">
            <v xml:space="preserve">Пульт управления </v>
          </cell>
          <cell r="H239">
            <v>57614</v>
          </cell>
          <cell r="I239">
            <v>1</v>
          </cell>
          <cell r="J239">
            <v>57614</v>
          </cell>
        </row>
        <row r="240">
          <cell r="B240" t="str">
            <v>ООС-0104-000220</v>
          </cell>
          <cell r="C240" t="str">
            <v>Радиостанция GP320</v>
          </cell>
          <cell r="D240">
            <v>36672</v>
          </cell>
          <cell r="E240">
            <v>6071.5</v>
          </cell>
          <cell r="F240">
            <v>1</v>
          </cell>
          <cell r="G240" t="str">
            <v xml:space="preserve">MOTOROLA GP-320 </v>
          </cell>
          <cell r="H240">
            <v>7431</v>
          </cell>
          <cell r="I240">
            <v>1</v>
          </cell>
          <cell r="J240">
            <v>7431</v>
          </cell>
        </row>
        <row r="241">
          <cell r="B241" t="str">
            <v>ООС-0104-000221</v>
          </cell>
          <cell r="C241" t="str">
            <v>Радиостанция GP320</v>
          </cell>
          <cell r="D241">
            <v>36672</v>
          </cell>
          <cell r="E241">
            <v>6071.5</v>
          </cell>
          <cell r="F241">
            <v>1</v>
          </cell>
          <cell r="G241" t="str">
            <v xml:space="preserve">MOTOROLA GP-320 </v>
          </cell>
          <cell r="H241">
            <v>7431</v>
          </cell>
          <cell r="I241">
            <v>1</v>
          </cell>
          <cell r="J241">
            <v>7431</v>
          </cell>
        </row>
        <row r="242">
          <cell r="B242" t="str">
            <v>ООС-0104-000768</v>
          </cell>
          <cell r="C242" t="str">
            <v>Тепловая завеса</v>
          </cell>
          <cell r="D242">
            <v>37653</v>
          </cell>
          <cell r="E242">
            <v>23486.48</v>
          </cell>
          <cell r="F242">
            <v>1</v>
          </cell>
          <cell r="G242" t="str">
            <v>ТРОПИК ЗЭТ-18-ДУ Высокопроизводительная завеса для вертикальной / горизонтальной установки</v>
          </cell>
          <cell r="H242">
            <v>25397</v>
          </cell>
          <cell r="I242">
            <v>1</v>
          </cell>
          <cell r="J242">
            <v>25397</v>
          </cell>
        </row>
        <row r="243">
          <cell r="B243" t="str">
            <v>ООС-0104-000791</v>
          </cell>
          <cell r="C243" t="str">
            <v>Сис. Блок+монит. VL400</v>
          </cell>
          <cell r="D243">
            <v>37741</v>
          </cell>
          <cell r="E243">
            <v>19762.46</v>
          </cell>
          <cell r="F243">
            <v>1</v>
          </cell>
          <cell r="G243" t="str">
            <v xml:space="preserve">Celeron/900 MHz/64 Mb/20000 Mb/SVGA Hewlett-Packard ПК HP Vectra VL400, Cel 900MHz, 64MB PC133 SDRAM, 20GB, AGP и ViewSonic VP 140 TCO'99 </v>
          </cell>
          <cell r="H243">
            <v>17190</v>
          </cell>
          <cell r="I243">
            <v>1</v>
          </cell>
          <cell r="J243">
            <v>17190</v>
          </cell>
        </row>
        <row r="244">
          <cell r="B244" t="str">
            <v>ООС-0106-000453</v>
          </cell>
          <cell r="C244" t="str">
            <v>Автомобиль ВАЗ-21043</v>
          </cell>
          <cell r="D244">
            <v>37561</v>
          </cell>
          <cell r="E244">
            <v>55170.44</v>
          </cell>
          <cell r="F244">
            <v>1</v>
          </cell>
          <cell r="G244" t="str">
            <v>ВАЗ-21043-01-010</v>
          </cell>
          <cell r="H244">
            <v>95763</v>
          </cell>
          <cell r="I244">
            <v>1</v>
          </cell>
          <cell r="J244">
            <v>95763</v>
          </cell>
        </row>
        <row r="245">
          <cell r="B245" t="str">
            <v>ООС-0105-000046</v>
          </cell>
          <cell r="C245" t="str">
            <v xml:space="preserve">Шкаф 2-х дверный </v>
          </cell>
          <cell r="D245">
            <v>36146</v>
          </cell>
          <cell r="E245">
            <v>0</v>
          </cell>
          <cell r="F245">
            <v>1</v>
          </cell>
          <cell r="G245" t="str">
            <v>Шкаф-купе 2-х дверный "Антон Т-1"</v>
          </cell>
          <cell r="H245">
            <v>3814</v>
          </cell>
          <cell r="I245">
            <v>1</v>
          </cell>
          <cell r="J245">
            <v>3814</v>
          </cell>
        </row>
        <row r="246">
          <cell r="B246" t="str">
            <v>ООС-0105-000047</v>
          </cell>
          <cell r="C246" t="str">
            <v xml:space="preserve">Шкаф 2-х дверный </v>
          </cell>
          <cell r="D246">
            <v>36146</v>
          </cell>
          <cell r="E246">
            <v>0</v>
          </cell>
          <cell r="F246">
            <v>1</v>
          </cell>
          <cell r="G246" t="str">
            <v>Шкаф-купе 2-х дверный "Антон Т-1"</v>
          </cell>
          <cell r="H246">
            <v>3814</v>
          </cell>
          <cell r="I246">
            <v>1</v>
          </cell>
          <cell r="J246">
            <v>3814</v>
          </cell>
        </row>
        <row r="247">
          <cell r="B247" t="str">
            <v>ООС-0105-000048</v>
          </cell>
          <cell r="C247" t="str">
            <v xml:space="preserve">Шкаф 2-х дверный </v>
          </cell>
          <cell r="D247">
            <v>36146</v>
          </cell>
          <cell r="E247">
            <v>0</v>
          </cell>
          <cell r="F247">
            <v>1</v>
          </cell>
          <cell r="G247" t="str">
            <v>Шкаф-купе 2-х дверный "Антон Т-1"</v>
          </cell>
          <cell r="H247">
            <v>3814</v>
          </cell>
          <cell r="I247">
            <v>1</v>
          </cell>
          <cell r="J247">
            <v>3814</v>
          </cell>
        </row>
        <row r="248">
          <cell r="B248" t="str">
            <v>ООС-0105-000049</v>
          </cell>
          <cell r="C248" t="str">
            <v xml:space="preserve">Шкаф 2-х дверный </v>
          </cell>
          <cell r="D248">
            <v>36146</v>
          </cell>
          <cell r="E248">
            <v>0</v>
          </cell>
          <cell r="F248">
            <v>1</v>
          </cell>
          <cell r="G248" t="str">
            <v>Шкаф-купе 2-х дверный "Антон Т-1"</v>
          </cell>
          <cell r="H248">
            <v>3814</v>
          </cell>
          <cell r="I248">
            <v>1</v>
          </cell>
          <cell r="J248">
            <v>3814</v>
          </cell>
        </row>
        <row r="249">
          <cell r="B249" t="str">
            <v>ООС-0105-000050</v>
          </cell>
          <cell r="C249" t="str">
            <v xml:space="preserve">Шкаф 2-х дверный </v>
          </cell>
          <cell r="D249">
            <v>36146</v>
          </cell>
          <cell r="E249">
            <v>0</v>
          </cell>
          <cell r="F249">
            <v>1</v>
          </cell>
          <cell r="G249" t="str">
            <v>Шкаф-купе 2-х дверный "Антон Т-1"</v>
          </cell>
          <cell r="H249">
            <v>3814</v>
          </cell>
          <cell r="I249">
            <v>1</v>
          </cell>
          <cell r="J249">
            <v>3814</v>
          </cell>
        </row>
        <row r="250">
          <cell r="B250" t="str">
            <v>ООС-0105-000051</v>
          </cell>
          <cell r="C250" t="str">
            <v xml:space="preserve">Шкаф 2-х дверный </v>
          </cell>
          <cell r="D250">
            <v>36146</v>
          </cell>
          <cell r="E250">
            <v>0</v>
          </cell>
          <cell r="F250">
            <v>1</v>
          </cell>
          <cell r="G250" t="str">
            <v>Шкаф-купе 2-х дверный "Антон Т-1"</v>
          </cell>
          <cell r="H250">
            <v>3814</v>
          </cell>
          <cell r="I250">
            <v>1</v>
          </cell>
          <cell r="J250">
            <v>3814</v>
          </cell>
        </row>
        <row r="251">
          <cell r="B251" t="str">
            <v>ООС-0105-000052</v>
          </cell>
          <cell r="C251" t="str">
            <v xml:space="preserve">Шкаф 2-х дверный </v>
          </cell>
          <cell r="D251">
            <v>36146</v>
          </cell>
          <cell r="E251">
            <v>0</v>
          </cell>
          <cell r="F251">
            <v>1</v>
          </cell>
          <cell r="G251" t="str">
            <v>Шкаф-купе 2-х дверный "Антон Т-1"</v>
          </cell>
          <cell r="H251">
            <v>3814</v>
          </cell>
          <cell r="I251">
            <v>1</v>
          </cell>
          <cell r="J251">
            <v>3814</v>
          </cell>
        </row>
        <row r="252">
          <cell r="B252" t="str">
            <v>ООС-0105-000053</v>
          </cell>
          <cell r="C252" t="str">
            <v xml:space="preserve">Шкаф 2-х дверный </v>
          </cell>
          <cell r="D252">
            <v>36146</v>
          </cell>
          <cell r="E252">
            <v>0</v>
          </cell>
          <cell r="F252">
            <v>1</v>
          </cell>
          <cell r="G252" t="str">
            <v>Шкаф-купе 2-х дверный "Антон Т-1"</v>
          </cell>
          <cell r="H252">
            <v>3814</v>
          </cell>
          <cell r="I252">
            <v>1</v>
          </cell>
          <cell r="J252">
            <v>3814</v>
          </cell>
        </row>
        <row r="253">
          <cell r="B253" t="str">
            <v>ООС-0105-000054</v>
          </cell>
          <cell r="C253" t="str">
            <v xml:space="preserve">Шкаф 2-х дверный </v>
          </cell>
          <cell r="D253">
            <v>36146</v>
          </cell>
          <cell r="E253">
            <v>0</v>
          </cell>
          <cell r="F253">
            <v>1</v>
          </cell>
          <cell r="G253" t="str">
            <v>Шкаф-купе 2-х дверный "Антон Т-1"</v>
          </cell>
          <cell r="H253">
            <v>3814</v>
          </cell>
          <cell r="I253">
            <v>1</v>
          </cell>
          <cell r="J253">
            <v>3814</v>
          </cell>
        </row>
        <row r="254">
          <cell r="B254" t="str">
            <v>ООС-0105-000055</v>
          </cell>
          <cell r="C254" t="str">
            <v xml:space="preserve">Шкаф 2-х дверный </v>
          </cell>
          <cell r="D254">
            <v>36146</v>
          </cell>
          <cell r="E254">
            <v>0</v>
          </cell>
          <cell r="F254">
            <v>1</v>
          </cell>
          <cell r="G254" t="str">
            <v>Шкаф-купе 2-х дверный "Антон Т-1"</v>
          </cell>
          <cell r="H254">
            <v>3814</v>
          </cell>
          <cell r="I254">
            <v>1</v>
          </cell>
          <cell r="J254">
            <v>3814</v>
          </cell>
        </row>
        <row r="255">
          <cell r="B255" t="str">
            <v>ООС-0105-000056</v>
          </cell>
          <cell r="C255" t="str">
            <v xml:space="preserve">Шкаф 2-х дверный </v>
          </cell>
          <cell r="D255">
            <v>36146</v>
          </cell>
          <cell r="E255">
            <v>0</v>
          </cell>
          <cell r="F255">
            <v>1</v>
          </cell>
          <cell r="G255" t="str">
            <v>Шкаф-купе 2-х дверный "Антон Т-1"</v>
          </cell>
          <cell r="H255">
            <v>3814</v>
          </cell>
          <cell r="I255">
            <v>1</v>
          </cell>
          <cell r="J255">
            <v>3814</v>
          </cell>
        </row>
        <row r="256">
          <cell r="B256" t="str">
            <v>ООС-0105-000057</v>
          </cell>
          <cell r="C256" t="str">
            <v xml:space="preserve">Шкаф 2-х дверный </v>
          </cell>
          <cell r="D256">
            <v>36146</v>
          </cell>
          <cell r="E256">
            <v>0</v>
          </cell>
          <cell r="F256">
            <v>1</v>
          </cell>
          <cell r="G256" t="str">
            <v>Шкаф-купе 2-х дверный "Антон Т-1"</v>
          </cell>
          <cell r="H256">
            <v>3814</v>
          </cell>
          <cell r="I256">
            <v>1</v>
          </cell>
          <cell r="J256">
            <v>3814</v>
          </cell>
        </row>
        <row r="257">
          <cell r="B257" t="str">
            <v>ООС-0105-000058</v>
          </cell>
          <cell r="C257" t="str">
            <v xml:space="preserve">Шкаф 2-х дверный </v>
          </cell>
          <cell r="D257">
            <v>36146</v>
          </cell>
          <cell r="E257">
            <v>0</v>
          </cell>
          <cell r="F257">
            <v>1</v>
          </cell>
          <cell r="G257" t="str">
            <v>Шкаф-купе 2-х дверный "Антон Т-1"</v>
          </cell>
          <cell r="H257">
            <v>3814</v>
          </cell>
          <cell r="I257">
            <v>1</v>
          </cell>
          <cell r="J257">
            <v>3814</v>
          </cell>
        </row>
        <row r="258">
          <cell r="B258" t="str">
            <v>ООС-0105-000059</v>
          </cell>
          <cell r="C258" t="str">
            <v xml:space="preserve">Шкаф 2-х дверный </v>
          </cell>
          <cell r="D258">
            <v>36146</v>
          </cell>
          <cell r="E258">
            <v>0</v>
          </cell>
          <cell r="F258">
            <v>1</v>
          </cell>
          <cell r="G258" t="str">
            <v>Шкаф-купе 2-х дверный "Антон Т-1"</v>
          </cell>
          <cell r="H258">
            <v>3814</v>
          </cell>
          <cell r="I258">
            <v>1</v>
          </cell>
          <cell r="J258">
            <v>3814</v>
          </cell>
        </row>
        <row r="259">
          <cell r="B259" t="str">
            <v>ООС-0105-000060</v>
          </cell>
          <cell r="C259" t="str">
            <v xml:space="preserve">Шкаф 2-х дверный </v>
          </cell>
          <cell r="D259">
            <v>36146</v>
          </cell>
          <cell r="E259">
            <v>0</v>
          </cell>
          <cell r="F259">
            <v>1</v>
          </cell>
          <cell r="G259" t="str">
            <v>Шкаф-купе 2-х дверный "Антон Т-1"</v>
          </cell>
          <cell r="H259">
            <v>3814</v>
          </cell>
          <cell r="I259">
            <v>1</v>
          </cell>
          <cell r="J259">
            <v>3814</v>
          </cell>
        </row>
        <row r="260">
          <cell r="B260" t="str">
            <v>ООС-0105-000061</v>
          </cell>
          <cell r="C260" t="str">
            <v xml:space="preserve">Шкаф 2-х дверный </v>
          </cell>
          <cell r="D260">
            <v>36146</v>
          </cell>
          <cell r="E260">
            <v>0</v>
          </cell>
          <cell r="F260">
            <v>1</v>
          </cell>
          <cell r="G260" t="str">
            <v>Шкаф-купе 2-х дверный "Антон Т-1"</v>
          </cell>
          <cell r="H260">
            <v>3814</v>
          </cell>
          <cell r="I260">
            <v>1</v>
          </cell>
          <cell r="J260">
            <v>3814</v>
          </cell>
        </row>
        <row r="261">
          <cell r="B261" t="str">
            <v>ООС-0105-000062</v>
          </cell>
          <cell r="C261" t="str">
            <v xml:space="preserve">Шкаф 2-х дверный </v>
          </cell>
          <cell r="D261">
            <v>36146</v>
          </cell>
          <cell r="E261">
            <v>0</v>
          </cell>
          <cell r="F261">
            <v>1</v>
          </cell>
          <cell r="G261" t="str">
            <v>Шкаф-купе 2-х дверный "Антон Т-1"</v>
          </cell>
          <cell r="H261">
            <v>3814</v>
          </cell>
          <cell r="I261">
            <v>1</v>
          </cell>
          <cell r="J261">
            <v>3814</v>
          </cell>
        </row>
        <row r="262">
          <cell r="B262" t="str">
            <v>ООС-0105-000063</v>
          </cell>
          <cell r="C262" t="str">
            <v xml:space="preserve">Шкаф 2-х дверный </v>
          </cell>
          <cell r="D262">
            <v>36146</v>
          </cell>
          <cell r="E262">
            <v>0</v>
          </cell>
          <cell r="F262">
            <v>1</v>
          </cell>
          <cell r="G262" t="str">
            <v>Шкаф-купе 2-х дверный "Антон Т-1"</v>
          </cell>
          <cell r="H262">
            <v>3814</v>
          </cell>
          <cell r="I262">
            <v>1</v>
          </cell>
          <cell r="J262">
            <v>3814</v>
          </cell>
        </row>
        <row r="263">
          <cell r="B263" t="str">
            <v>ООС-0105-000064</v>
          </cell>
          <cell r="C263" t="str">
            <v xml:space="preserve">Шкаф 2-х дверный </v>
          </cell>
          <cell r="D263">
            <v>36146</v>
          </cell>
          <cell r="E263">
            <v>0</v>
          </cell>
          <cell r="F263">
            <v>1</v>
          </cell>
          <cell r="G263" t="str">
            <v>Шкаф-купе 2-х дверный "Антон Т-1"</v>
          </cell>
          <cell r="H263">
            <v>3814</v>
          </cell>
          <cell r="I263">
            <v>1</v>
          </cell>
          <cell r="J263">
            <v>3814</v>
          </cell>
        </row>
        <row r="264">
          <cell r="B264" t="str">
            <v>ООС-0104-001063</v>
          </cell>
          <cell r="C264" t="str">
            <v>Сис. Блок 2.8/512Mb</v>
          </cell>
          <cell r="D264">
            <v>38257</v>
          </cell>
          <cell r="E264">
            <v>17171.95</v>
          </cell>
          <cell r="F264">
            <v>1</v>
          </cell>
          <cell r="G264" t="str">
            <v xml:space="preserve">HP Vectra VEi7 DT C466-32M4.3G/S95      HPD8126A </v>
          </cell>
          <cell r="H264">
            <v>16955</v>
          </cell>
          <cell r="I264">
            <v>1</v>
          </cell>
          <cell r="J264">
            <v>16955</v>
          </cell>
        </row>
        <row r="265">
          <cell r="B265" t="str">
            <v>ООС-0104-001064</v>
          </cell>
          <cell r="C265" t="str">
            <v>Монитор VS+VX900</v>
          </cell>
          <cell r="D265">
            <v>38257</v>
          </cell>
          <cell r="E265">
            <v>17067.41</v>
          </cell>
          <cell r="F265">
            <v>1</v>
          </cell>
          <cell r="G265" t="str">
            <v>19" TFT VX912 (LCD,TFT, 1280*1024-75Hz, 250кд/м, 500:1, DVI+,12 ms) TCO"99</v>
          </cell>
          <cell r="H265">
            <v>16353</v>
          </cell>
          <cell r="I265">
            <v>1</v>
          </cell>
          <cell r="J265">
            <v>16353</v>
          </cell>
        </row>
        <row r="266">
          <cell r="B266" t="str">
            <v>ООС-0104-001065</v>
          </cell>
          <cell r="C266" t="str">
            <v>Сис. Блок 2.8/512Mb</v>
          </cell>
          <cell r="D266">
            <v>38257</v>
          </cell>
          <cell r="E266">
            <v>17171.95</v>
          </cell>
          <cell r="F266">
            <v>1</v>
          </cell>
          <cell r="G266" t="str">
            <v xml:space="preserve">HP Vectra VEi7 DT C466-32M4.3G/S95      HPD8126A </v>
          </cell>
          <cell r="H266">
            <v>16955</v>
          </cell>
          <cell r="I266">
            <v>1</v>
          </cell>
          <cell r="J266">
            <v>16955</v>
          </cell>
        </row>
        <row r="267">
          <cell r="B267" t="str">
            <v>ООС-0104-001066</v>
          </cell>
          <cell r="C267" t="str">
            <v>Монитор VS+VX900</v>
          </cell>
          <cell r="D267">
            <v>38257</v>
          </cell>
          <cell r="E267">
            <v>17067.41</v>
          </cell>
          <cell r="F267">
            <v>1</v>
          </cell>
          <cell r="G267" t="str">
            <v>19" TFT VX912 (LCD,TFT, 1280*1024-75Hz, 250кд/м, 500:1, DVI+,12 ms) TCO"99</v>
          </cell>
          <cell r="H267">
            <v>16353</v>
          </cell>
          <cell r="I267">
            <v>1</v>
          </cell>
          <cell r="J267">
            <v>16353</v>
          </cell>
        </row>
        <row r="268">
          <cell r="B268" t="str">
            <v>ООС-0104-001067</v>
          </cell>
          <cell r="C268" t="str">
            <v>Сис. Блок 2.8/512Mb</v>
          </cell>
          <cell r="D268">
            <v>38257</v>
          </cell>
          <cell r="E268">
            <v>17171.95</v>
          </cell>
          <cell r="F268">
            <v>1</v>
          </cell>
          <cell r="G268" t="str">
            <v xml:space="preserve">HP Vectra VEi7 DT C466-32M4.3G/S95      HPD8126A </v>
          </cell>
          <cell r="H268">
            <v>16955</v>
          </cell>
          <cell r="I268">
            <v>1</v>
          </cell>
          <cell r="J268">
            <v>16955</v>
          </cell>
        </row>
        <row r="269">
          <cell r="B269" t="str">
            <v>ООС-0104-001068</v>
          </cell>
          <cell r="C269" t="str">
            <v>Монитор VS+VX900</v>
          </cell>
          <cell r="D269">
            <v>38257</v>
          </cell>
          <cell r="E269">
            <v>17067.41</v>
          </cell>
          <cell r="F269">
            <v>1</v>
          </cell>
          <cell r="G269" t="str">
            <v>19" TFT VX912 (LCD,TFT, 1280*1024-75Hz, 250кд/м, 500:1, DVI+,12 ms) TCO"99</v>
          </cell>
          <cell r="H269">
            <v>16353</v>
          </cell>
          <cell r="I269">
            <v>1</v>
          </cell>
          <cell r="J269">
            <v>16353</v>
          </cell>
        </row>
        <row r="270">
          <cell r="B270" t="str">
            <v>ООС-0104-000113</v>
          </cell>
          <cell r="C270" t="str">
            <v>Сис. Блок VEi8</v>
          </cell>
          <cell r="D270">
            <v>36433</v>
          </cell>
          <cell r="E270">
            <v>2602.44</v>
          </cell>
          <cell r="F270">
            <v>1</v>
          </cell>
          <cell r="G270" t="str">
            <v xml:space="preserve">DT P450-64Mb/4.3Gb/MATROX G200 AGP 8mB/3Com Lan      HPD8172N </v>
          </cell>
          <cell r="H270">
            <v>24009</v>
          </cell>
          <cell r="I270">
            <v>1</v>
          </cell>
          <cell r="J270">
            <v>24009</v>
          </cell>
        </row>
        <row r="271">
          <cell r="B271" t="str">
            <v>ООС-0104-000114</v>
          </cell>
          <cell r="C271" t="str">
            <v>Сис. Блок VEi7</v>
          </cell>
          <cell r="D271">
            <v>36433</v>
          </cell>
          <cell r="E271">
            <v>1805.77</v>
          </cell>
          <cell r="F271">
            <v>1</v>
          </cell>
          <cell r="G271" t="str">
            <v xml:space="preserve">HP Vectra VEi7 DT C466-32M4.3G/S95      HPD8126A </v>
          </cell>
          <cell r="H271">
            <v>16955</v>
          </cell>
          <cell r="I271">
            <v>1</v>
          </cell>
          <cell r="J271">
            <v>16955</v>
          </cell>
        </row>
        <row r="272">
          <cell r="B272" t="str">
            <v>ООС-0104-000115</v>
          </cell>
          <cell r="C272" t="str">
            <v>Сис. Блок VEi7</v>
          </cell>
          <cell r="D272">
            <v>36433</v>
          </cell>
          <cell r="E272">
            <v>1805.77</v>
          </cell>
          <cell r="F272">
            <v>1</v>
          </cell>
          <cell r="G272" t="str">
            <v xml:space="preserve">HP Vectra VEi7 DT C466-32M4.3G/S95      HPD8126A </v>
          </cell>
          <cell r="H272">
            <v>16955</v>
          </cell>
          <cell r="I272">
            <v>1</v>
          </cell>
          <cell r="J272">
            <v>16955</v>
          </cell>
        </row>
        <row r="273">
          <cell r="B273" t="str">
            <v>ООС-0104-000121</v>
          </cell>
          <cell r="C273" t="str">
            <v>Ноутбук Satell 4030CDT</v>
          </cell>
          <cell r="D273">
            <v>36469</v>
          </cell>
          <cell r="E273">
            <v>5041.8900000000003</v>
          </cell>
          <cell r="F273">
            <v>1</v>
          </cell>
          <cell r="G273" t="str">
            <v xml:space="preserve">Toshiba Satellite Pro 4600 </v>
          </cell>
          <cell r="H273">
            <v>14746</v>
          </cell>
          <cell r="I273">
            <v>1</v>
          </cell>
          <cell r="J273">
            <v>14746</v>
          </cell>
        </row>
        <row r="274">
          <cell r="B274" t="str">
            <v>ООС-0104-000175</v>
          </cell>
          <cell r="C274" t="str">
            <v>Ноутбук Satell 2100CDT</v>
          </cell>
          <cell r="D274">
            <v>36586</v>
          </cell>
          <cell r="E274">
            <v>7283.53</v>
          </cell>
          <cell r="F274">
            <v>1</v>
          </cell>
          <cell r="G274" t="str">
            <v xml:space="preserve">Ноутбук Toshiba Satellite 2100CDT </v>
          </cell>
          <cell r="H274">
            <v>32099</v>
          </cell>
          <cell r="I274">
            <v>1</v>
          </cell>
          <cell r="J274">
            <v>32099</v>
          </cell>
        </row>
        <row r="275">
          <cell r="B275" t="str">
            <v>ООС-0104-000176</v>
          </cell>
          <cell r="C275" t="str">
            <v>Ноутбук Tochiba IC 800</v>
          </cell>
          <cell r="D275">
            <v>36586</v>
          </cell>
          <cell r="E275">
            <v>7283.53</v>
          </cell>
          <cell r="F275">
            <v>1</v>
          </cell>
          <cell r="G275" t="str">
            <v xml:space="preserve">Ноутбук Toshiba Satellite 2805-S302 </v>
          </cell>
          <cell r="H275">
            <v>13875</v>
          </cell>
          <cell r="I275">
            <v>1</v>
          </cell>
          <cell r="J275">
            <v>13875</v>
          </cell>
        </row>
        <row r="276">
          <cell r="B276" t="str">
            <v>ООС-0104-000177</v>
          </cell>
          <cell r="C276" t="str">
            <v>Ноутбук Tochiba1800-S203</v>
          </cell>
          <cell r="D276">
            <v>36586</v>
          </cell>
          <cell r="E276">
            <v>7283.53</v>
          </cell>
          <cell r="F276">
            <v>1</v>
          </cell>
          <cell r="G276" t="str">
            <v xml:space="preserve">Ноутбук Toshiba Satellite 2805-S302 </v>
          </cell>
          <cell r="H276">
            <v>13875</v>
          </cell>
          <cell r="I276">
            <v>1</v>
          </cell>
          <cell r="J276">
            <v>13875</v>
          </cell>
        </row>
        <row r="277">
          <cell r="B277" t="str">
            <v>ООС-0104-000178</v>
          </cell>
          <cell r="C277" t="str">
            <v>Ноутбук Tochiba1800-S203</v>
          </cell>
          <cell r="D277">
            <v>36586</v>
          </cell>
          <cell r="E277">
            <v>7283.53</v>
          </cell>
          <cell r="F277">
            <v>1</v>
          </cell>
          <cell r="G277" t="str">
            <v xml:space="preserve">Ноутбук Toshiba Satellite 2805-S302 </v>
          </cell>
          <cell r="H277">
            <v>13875</v>
          </cell>
          <cell r="I277">
            <v>1</v>
          </cell>
          <cell r="J277">
            <v>13875</v>
          </cell>
        </row>
        <row r="278">
          <cell r="B278" t="str">
            <v>ООС-0104-000198</v>
          </cell>
          <cell r="C278" t="str">
            <v>Сис. Блок+мон. VS P655N</v>
          </cell>
          <cell r="D278">
            <v>36622</v>
          </cell>
          <cell r="E278">
            <v>4664.2299999999996</v>
          </cell>
          <cell r="F278">
            <v>1</v>
          </cell>
          <cell r="G278" t="str">
            <v xml:space="preserve">Celeron/900 MHz/64 Mb/20000 Mb/SVGA Hewlett-Packard ПК HP Vectra VL400, Cel 900MHz, 64MB PC133 SDRAM, 20GB, AGP и ViewSonic VP 140 TCO'99 </v>
          </cell>
          <cell r="H278">
            <v>17190</v>
          </cell>
          <cell r="I278">
            <v>1</v>
          </cell>
          <cell r="J278">
            <v>17190</v>
          </cell>
        </row>
        <row r="279">
          <cell r="B279" t="str">
            <v>ООС-0104-000199</v>
          </cell>
          <cell r="C279" t="str">
            <v>Сис. Блок+мон. ADI ALF</v>
          </cell>
          <cell r="D279">
            <v>36622</v>
          </cell>
          <cell r="E279">
            <v>4664.2299999999996</v>
          </cell>
          <cell r="F279">
            <v>1</v>
          </cell>
          <cell r="G279" t="str">
            <v xml:space="preserve">Celeron/900 MHz/64 Mb/20000 Mb/SVGA Hewlett-Packard ПК HP Vectra VL400, Cel 900MHz, 64MB PC133 SDRAM, 20GB, AGP и ViewSonic VP 140 TCO'99 </v>
          </cell>
          <cell r="H279">
            <v>17190</v>
          </cell>
          <cell r="I279">
            <v>1</v>
          </cell>
          <cell r="J279">
            <v>17190</v>
          </cell>
        </row>
        <row r="280">
          <cell r="B280" t="str">
            <v>ООС-0104-000204</v>
          </cell>
          <cell r="C280" t="str">
            <v>Сис. Блок Vei7</v>
          </cell>
          <cell r="D280">
            <v>36636</v>
          </cell>
          <cell r="E280">
            <v>5280.92</v>
          </cell>
          <cell r="F280">
            <v>1</v>
          </cell>
          <cell r="G280" t="str">
            <v xml:space="preserve">HP Vectra VEi7 DT C466-32M4.3G/S95      HPD8126A </v>
          </cell>
          <cell r="H280">
            <v>16955</v>
          </cell>
          <cell r="I280">
            <v>1</v>
          </cell>
          <cell r="J280">
            <v>16955</v>
          </cell>
        </row>
        <row r="281">
          <cell r="B281" t="str">
            <v>ООС-0104-000205</v>
          </cell>
          <cell r="C281" t="str">
            <v>Сис. Блок Vei7</v>
          </cell>
          <cell r="D281">
            <v>36636</v>
          </cell>
          <cell r="E281">
            <v>5280.92</v>
          </cell>
          <cell r="F281">
            <v>1</v>
          </cell>
          <cell r="G281" t="str">
            <v xml:space="preserve">HP Vectra VEi7 DT C466-32M4.3G/S95      HPD8126A </v>
          </cell>
          <cell r="H281">
            <v>16955</v>
          </cell>
          <cell r="I281">
            <v>1</v>
          </cell>
          <cell r="J281">
            <v>16955</v>
          </cell>
        </row>
        <row r="282">
          <cell r="B282" t="str">
            <v>ООС-0104-000206</v>
          </cell>
          <cell r="C282" t="str">
            <v>Сис. Блок Vei7</v>
          </cell>
          <cell r="D282">
            <v>36636</v>
          </cell>
          <cell r="E282">
            <v>5280.92</v>
          </cell>
          <cell r="F282">
            <v>1</v>
          </cell>
          <cell r="G282" t="str">
            <v xml:space="preserve">HP Vectra VEi7 DT C466-32M4.3G/S95      HPD8126A </v>
          </cell>
          <cell r="H282">
            <v>16955</v>
          </cell>
          <cell r="I282">
            <v>1</v>
          </cell>
          <cell r="J282">
            <v>16955</v>
          </cell>
        </row>
        <row r="283">
          <cell r="B283" t="str">
            <v>ООС-0104-000207</v>
          </cell>
          <cell r="C283" t="str">
            <v>Сис. Блок Vei7</v>
          </cell>
          <cell r="D283">
            <v>36636</v>
          </cell>
          <cell r="E283">
            <v>5280.92</v>
          </cell>
          <cell r="F283">
            <v>1</v>
          </cell>
          <cell r="G283" t="str">
            <v xml:space="preserve">HP Vectra VEi7 DT C466-32M4.3G/S95      HPD8126A </v>
          </cell>
          <cell r="H283">
            <v>16955</v>
          </cell>
          <cell r="I283">
            <v>1</v>
          </cell>
          <cell r="J283">
            <v>16955</v>
          </cell>
        </row>
        <row r="284">
          <cell r="B284" t="str">
            <v>ООС-0104-000208</v>
          </cell>
          <cell r="C284" t="str">
            <v>Сис. Блок Vei7</v>
          </cell>
          <cell r="D284">
            <v>36636</v>
          </cell>
          <cell r="E284">
            <v>5280.92</v>
          </cell>
          <cell r="F284">
            <v>1</v>
          </cell>
          <cell r="G284" t="str">
            <v xml:space="preserve">HP Vectra VEi7 DT C466-32M4.3G/S95      HPD8126A </v>
          </cell>
          <cell r="H284">
            <v>16955</v>
          </cell>
          <cell r="I284">
            <v>1</v>
          </cell>
          <cell r="J284">
            <v>16955</v>
          </cell>
        </row>
        <row r="285">
          <cell r="B285" t="str">
            <v>ООС-0104-000209</v>
          </cell>
          <cell r="C285" t="str">
            <v>Сис. Блок Vei7</v>
          </cell>
          <cell r="D285">
            <v>36636</v>
          </cell>
          <cell r="E285">
            <v>5280.92</v>
          </cell>
          <cell r="F285">
            <v>1</v>
          </cell>
          <cell r="G285" t="str">
            <v xml:space="preserve">HP Vectra VEi7 DT C466-32M4.3G/S95      HPD8126A </v>
          </cell>
          <cell r="H285">
            <v>16955</v>
          </cell>
          <cell r="I285">
            <v>1</v>
          </cell>
          <cell r="J285">
            <v>16955</v>
          </cell>
        </row>
        <row r="286">
          <cell r="B286" t="str">
            <v>ООС-0104-000210</v>
          </cell>
          <cell r="C286" t="str">
            <v>Сис. Блок Vei7</v>
          </cell>
          <cell r="D286">
            <v>36636</v>
          </cell>
          <cell r="E286">
            <v>5280.92</v>
          </cell>
          <cell r="F286">
            <v>1</v>
          </cell>
          <cell r="G286" t="str">
            <v xml:space="preserve">HP Vectra VEi7 DT C466-32M4.3G/S95      HPD8126A </v>
          </cell>
          <cell r="H286">
            <v>16955</v>
          </cell>
          <cell r="I286">
            <v>1</v>
          </cell>
          <cell r="J286">
            <v>16955</v>
          </cell>
        </row>
        <row r="287">
          <cell r="B287" t="str">
            <v>ООС-0104-000211</v>
          </cell>
          <cell r="C287" t="str">
            <v>Сис. Блок Vei7</v>
          </cell>
          <cell r="D287">
            <v>36636</v>
          </cell>
          <cell r="E287">
            <v>5280.92</v>
          </cell>
          <cell r="F287">
            <v>1</v>
          </cell>
          <cell r="G287" t="str">
            <v xml:space="preserve">HP Vectra VEi7 DT C466-32M4.3G/S95      HPD8126A </v>
          </cell>
          <cell r="H287">
            <v>16955</v>
          </cell>
          <cell r="I287">
            <v>1</v>
          </cell>
          <cell r="J287">
            <v>16955</v>
          </cell>
        </row>
        <row r="288">
          <cell r="B288" t="str">
            <v>ООС-0104-000327</v>
          </cell>
          <cell r="C288" t="str">
            <v>Сис. Блок HP VEi7</v>
          </cell>
          <cell r="D288">
            <v>36808</v>
          </cell>
          <cell r="E288">
            <v>5139.76</v>
          </cell>
          <cell r="F288">
            <v>1</v>
          </cell>
          <cell r="G288" t="str">
            <v xml:space="preserve">HP Vectra VEi7 DT C466-32M4.3G/S95      HPD8126A </v>
          </cell>
          <cell r="H288">
            <v>16955</v>
          </cell>
          <cell r="I288">
            <v>1</v>
          </cell>
          <cell r="J288">
            <v>16955</v>
          </cell>
        </row>
        <row r="289">
          <cell r="B289" t="str">
            <v>ООС-0104-000328</v>
          </cell>
          <cell r="C289" t="str">
            <v>Сис.блок+монит. HPD8897</v>
          </cell>
          <cell r="D289">
            <v>36809</v>
          </cell>
          <cell r="E289">
            <v>4918.46</v>
          </cell>
          <cell r="F289">
            <v>1</v>
          </cell>
          <cell r="G289" t="str">
            <v xml:space="preserve">Celeron/900 MHz/64 Mb/20000 Mb/SVGA Hewlett-Packard ПК HP Vectra VL400, Cel 900MHz, 64MB PC133 SDRAM, 20GB, AGP и ViewSonic VP 140 TCO'99 </v>
          </cell>
          <cell r="H289">
            <v>17190</v>
          </cell>
          <cell r="I289">
            <v>1</v>
          </cell>
          <cell r="J289">
            <v>17190</v>
          </cell>
        </row>
        <row r="290">
          <cell r="B290" t="str">
            <v>ООС-0104-000329</v>
          </cell>
          <cell r="C290" t="str">
            <v>Сис. Блок Vei7</v>
          </cell>
          <cell r="D290">
            <v>36809</v>
          </cell>
          <cell r="E290">
            <v>4918.46</v>
          </cell>
          <cell r="F290">
            <v>1</v>
          </cell>
          <cell r="G290" t="str">
            <v xml:space="preserve">HP Vectra VEi7 DT C466-32M4.3G/S95      HPD8126A </v>
          </cell>
          <cell r="H290">
            <v>16955</v>
          </cell>
          <cell r="I290">
            <v>1</v>
          </cell>
          <cell r="J290">
            <v>16955</v>
          </cell>
        </row>
        <row r="291">
          <cell r="B291" t="str">
            <v>ООС-0104-000330</v>
          </cell>
          <cell r="C291" t="str">
            <v>Сис.блок Brio BA</v>
          </cell>
          <cell r="D291">
            <v>36809</v>
          </cell>
          <cell r="E291">
            <v>4918.46</v>
          </cell>
          <cell r="F291">
            <v>1</v>
          </cell>
          <cell r="G291" t="str">
            <v>Hewlett-Packard (HP) P1711A Системный блок HP Brio BA 410 P1711A P3-733 64MB 10GB CD-48x W98Engl</v>
          </cell>
          <cell r="H291">
            <v>5879</v>
          </cell>
          <cell r="I291">
            <v>1</v>
          </cell>
          <cell r="J291">
            <v>5879</v>
          </cell>
        </row>
        <row r="292">
          <cell r="B292" t="str">
            <v>ООС-0104-000335</v>
          </cell>
          <cell r="C292" t="str">
            <v>Сис. Блок VEi7</v>
          </cell>
          <cell r="D292">
            <v>36852</v>
          </cell>
          <cell r="E292">
            <v>4969.6899999999996</v>
          </cell>
          <cell r="F292">
            <v>1</v>
          </cell>
          <cell r="G292" t="str">
            <v xml:space="preserve">HP Vectra VEi7 DT C466-32M4.3G/S95      HPD8126A </v>
          </cell>
          <cell r="H292">
            <v>16955</v>
          </cell>
          <cell r="I292">
            <v>1</v>
          </cell>
          <cell r="J292">
            <v>16955</v>
          </cell>
        </row>
        <row r="293">
          <cell r="B293" t="str">
            <v>ООС-0104-000336</v>
          </cell>
          <cell r="C293" t="str">
            <v>Сис. Блок VEi7</v>
          </cell>
          <cell r="D293">
            <v>36843</v>
          </cell>
          <cell r="E293">
            <v>5414.74</v>
          </cell>
          <cell r="F293">
            <v>1</v>
          </cell>
          <cell r="G293" t="str">
            <v xml:space="preserve">HP Vectra VEi7 DT C466-32M4.3G/S95      HPD8126A </v>
          </cell>
          <cell r="H293">
            <v>16955</v>
          </cell>
          <cell r="I293">
            <v>1</v>
          </cell>
          <cell r="J293">
            <v>16955</v>
          </cell>
        </row>
        <row r="294">
          <cell r="B294" t="str">
            <v>ООС-0104-000337</v>
          </cell>
          <cell r="C294" t="str">
            <v>Сис. Блок+мон. Филипсс</v>
          </cell>
          <cell r="D294">
            <v>36831</v>
          </cell>
          <cell r="E294">
            <v>5106.8599999999997</v>
          </cell>
          <cell r="F294">
            <v>1</v>
          </cell>
          <cell r="G294" t="str">
            <v xml:space="preserve">Celeron/900 MHz/64 Mb/20000 Mb/SVGA Hewlett-Packard ПК HP Vectra VL400, Cel 900MHz, 64MB PC133 SDRAM, 20GB, AGP и ViewSonic VP 140 TCO'99 </v>
          </cell>
          <cell r="H294">
            <v>17190</v>
          </cell>
          <cell r="I294">
            <v>1</v>
          </cell>
          <cell r="J294">
            <v>17190</v>
          </cell>
        </row>
        <row r="295">
          <cell r="B295" t="str">
            <v>ООС-0104-000338</v>
          </cell>
          <cell r="C295" t="str">
            <v>Сис. Блок VEi7</v>
          </cell>
          <cell r="D295">
            <v>36831</v>
          </cell>
          <cell r="E295">
            <v>5106.8599999999997</v>
          </cell>
          <cell r="F295">
            <v>1</v>
          </cell>
          <cell r="G295" t="str">
            <v xml:space="preserve">HP Vectra VEi7 DT C466-32M4.3G/S95      HPD8126A </v>
          </cell>
          <cell r="H295">
            <v>16955</v>
          </cell>
          <cell r="I295">
            <v>1</v>
          </cell>
          <cell r="J295">
            <v>16955</v>
          </cell>
        </row>
        <row r="296">
          <cell r="B296" t="str">
            <v>ООС-0104-000339</v>
          </cell>
          <cell r="C296" t="str">
            <v>Сис. Блок VEi7</v>
          </cell>
          <cell r="D296">
            <v>36831</v>
          </cell>
          <cell r="E296">
            <v>5106.8599999999997</v>
          </cell>
          <cell r="F296">
            <v>1</v>
          </cell>
          <cell r="G296" t="str">
            <v xml:space="preserve">HP Vectra VEi7 DT C466-32M4.3G/S95      HPD8126A </v>
          </cell>
          <cell r="H296">
            <v>16955</v>
          </cell>
          <cell r="I296">
            <v>1</v>
          </cell>
          <cell r="J296">
            <v>16955</v>
          </cell>
        </row>
        <row r="297">
          <cell r="B297" t="str">
            <v>ООС-0104-000340</v>
          </cell>
          <cell r="C297" t="str">
            <v>Сис. Блок VL400</v>
          </cell>
          <cell r="D297">
            <v>36852</v>
          </cell>
          <cell r="E297">
            <v>5347.15</v>
          </cell>
          <cell r="F297">
            <v>1</v>
          </cell>
          <cell r="G297" t="str">
            <v>Celeron/900 MHz/64 Mb/20000 Mb/SVGA Hewlett-Packard ПК HP Vectra VL400, Cel 900MHz, 64MB PC133 SDRAM, 20GB, AGP</v>
          </cell>
          <cell r="H297">
            <v>11076</v>
          </cell>
          <cell r="I297">
            <v>1</v>
          </cell>
          <cell r="J297">
            <v>11076</v>
          </cell>
        </row>
        <row r="298">
          <cell r="B298" t="str">
            <v>ООС-0104-000766</v>
          </cell>
          <cell r="C298" t="str">
            <v>Пректор OP9000Ahhs</v>
          </cell>
          <cell r="D298">
            <v>37653</v>
          </cell>
          <cell r="E298">
            <v>5875.31</v>
          </cell>
          <cell r="F298">
            <v>1</v>
          </cell>
          <cell r="G298" t="str">
            <v xml:space="preserve">Проектор EPSON EMP-9100 part№ V11H035040 </v>
          </cell>
          <cell r="H298">
            <v>12711</v>
          </cell>
          <cell r="I298">
            <v>1</v>
          </cell>
          <cell r="J298">
            <v>12711</v>
          </cell>
        </row>
        <row r="299">
          <cell r="B299" t="str">
            <v>ООС-0104-000769</v>
          </cell>
          <cell r="C299" t="str">
            <v>Сис.Блок+монит. D8897VL</v>
          </cell>
          <cell r="D299">
            <v>37653</v>
          </cell>
          <cell r="E299">
            <v>10123.59</v>
          </cell>
          <cell r="F299">
            <v>1</v>
          </cell>
          <cell r="G299" t="str">
            <v xml:space="preserve">Celeron/900 MHz/64 Mb/20000 Mb/SVGA Hewlett-Packard ПК HP Vectra VL400, Cel 900MHz, 64MB PC133 SDRAM, 20GB, AGP и ViewSonic VP 140 TCO'99 </v>
          </cell>
          <cell r="H299">
            <v>17190</v>
          </cell>
          <cell r="I299">
            <v>1</v>
          </cell>
          <cell r="J299">
            <v>17190</v>
          </cell>
        </row>
        <row r="300">
          <cell r="B300" t="str">
            <v>ООС-0104-000770</v>
          </cell>
          <cell r="C300" t="str">
            <v>Сис. Блок HPD8897</v>
          </cell>
          <cell r="D300">
            <v>37653</v>
          </cell>
          <cell r="E300">
            <v>10123.59</v>
          </cell>
          <cell r="F300">
            <v>1</v>
          </cell>
          <cell r="G300" t="str">
            <v>Vectra VEi7 HPD8121A</v>
          </cell>
          <cell r="H300">
            <v>15120</v>
          </cell>
          <cell r="I300">
            <v>1</v>
          </cell>
          <cell r="J300">
            <v>15120</v>
          </cell>
        </row>
        <row r="301">
          <cell r="B301" t="str">
            <v>ООС-0104-000771</v>
          </cell>
          <cell r="C301" t="str">
            <v>Сис. Блок HPD8897</v>
          </cell>
          <cell r="D301">
            <v>37653</v>
          </cell>
          <cell r="E301">
            <v>10123.59</v>
          </cell>
          <cell r="F301">
            <v>1</v>
          </cell>
          <cell r="G301" t="str">
            <v>Vectra VEi7 HPD8121A</v>
          </cell>
          <cell r="H301">
            <v>15120</v>
          </cell>
          <cell r="I301">
            <v>1</v>
          </cell>
          <cell r="J301">
            <v>15120</v>
          </cell>
        </row>
        <row r="302">
          <cell r="B302" t="str">
            <v>ООС-0104-000772</v>
          </cell>
          <cell r="C302" t="str">
            <v>Сис. Блок HPD8897</v>
          </cell>
          <cell r="D302">
            <v>37653</v>
          </cell>
          <cell r="E302">
            <v>17312.189999999999</v>
          </cell>
          <cell r="F302">
            <v>1</v>
          </cell>
          <cell r="G302" t="str">
            <v>Vectra VEi7 HPD8121A</v>
          </cell>
          <cell r="H302">
            <v>15120</v>
          </cell>
          <cell r="I302">
            <v>1</v>
          </cell>
          <cell r="J302">
            <v>15120</v>
          </cell>
        </row>
        <row r="303">
          <cell r="B303" t="str">
            <v>ООС-0106-000266</v>
          </cell>
          <cell r="C303" t="str">
            <v>Автомобиль ВАЗ-21043</v>
          </cell>
          <cell r="D303">
            <v>36678</v>
          </cell>
          <cell r="E303">
            <v>14227.2</v>
          </cell>
          <cell r="F303">
            <v>1</v>
          </cell>
          <cell r="G303" t="str">
            <v>ВАЗ-21043-01-010</v>
          </cell>
          <cell r="H303">
            <v>95763</v>
          </cell>
          <cell r="I303">
            <v>1</v>
          </cell>
          <cell r="J303">
            <v>95763</v>
          </cell>
        </row>
        <row r="304">
          <cell r="B304" t="str">
            <v>ООС-0104-000635</v>
          </cell>
          <cell r="C304" t="str">
            <v>Сис. Блок+монит. VL400</v>
          </cell>
          <cell r="D304">
            <v>37561</v>
          </cell>
          <cell r="E304">
            <v>16865.43</v>
          </cell>
          <cell r="F304">
            <v>2</v>
          </cell>
          <cell r="G304" t="str">
            <v xml:space="preserve">Celeron/900 MHz/64 Mb/20000 Mb/SVGA Hewlett-Packard ПК HP Vectra VL400, Cel 900MHz, 64MB PC133 SDRAM, 20GB, AGP и ViewSonic VP 140 TCO'99 </v>
          </cell>
          <cell r="H304">
            <v>17190</v>
          </cell>
          <cell r="I304">
            <v>1</v>
          </cell>
          <cell r="J304">
            <v>34380</v>
          </cell>
        </row>
        <row r="305">
          <cell r="B305" t="str">
            <v>ООС-0104-000642</v>
          </cell>
          <cell r="C305" t="str">
            <v>Сис. Блок+монит. HP</v>
          </cell>
          <cell r="D305">
            <v>37561</v>
          </cell>
          <cell r="E305">
            <v>4344.57</v>
          </cell>
          <cell r="F305">
            <v>1</v>
          </cell>
          <cell r="G305" t="str">
            <v xml:space="preserve">Celeron/900 MHz/64 Mb/20000 Mb/SVGA Hewlett-Packard ПК HP Vectra VL400, Cel 900MHz, 64MB PC133 SDRAM, 20GB, AGP и Монитор 15'' ViewSonic E651 </v>
          </cell>
          <cell r="H305">
            <v>15097</v>
          </cell>
          <cell r="I305">
            <v>1</v>
          </cell>
          <cell r="J305">
            <v>15097</v>
          </cell>
        </row>
        <row r="306">
          <cell r="B306" t="str">
            <v>ООС-0104-000643</v>
          </cell>
          <cell r="C306" t="str">
            <v>Сис.блок+монит. P2</v>
          </cell>
          <cell r="D306">
            <v>37561</v>
          </cell>
          <cell r="E306">
            <v>4178.93</v>
          </cell>
          <cell r="F306">
            <v>1</v>
          </cell>
          <cell r="G306" t="str">
            <v xml:space="preserve">Celeron/900 MHz/64 Mb/20000 Mb/SVGA Hewlett-Packard ПК HP Vectra VL400, Cel 900MHz, 64MB PC133 SDRAM, 20GB, AGP и Монитор 15'' ViewSonic E651 </v>
          </cell>
          <cell r="H306">
            <v>15097</v>
          </cell>
          <cell r="I306">
            <v>1</v>
          </cell>
          <cell r="J306">
            <v>15097</v>
          </cell>
        </row>
        <row r="307">
          <cell r="B307" t="str">
            <v>ООС-0104-001004</v>
          </cell>
          <cell r="C307" t="str">
            <v>Уппаков. Аппарат 405/PS</v>
          </cell>
          <cell r="D307">
            <v>38107</v>
          </cell>
          <cell r="E307">
            <v>84698.21</v>
          </cell>
          <cell r="F307">
            <v>1</v>
          </cell>
          <cell r="G307" t="str">
            <v xml:space="preserve">Упаковочный полуавтомат Minipack FM-76 (Италия) </v>
          </cell>
          <cell r="H307">
            <v>10695</v>
          </cell>
          <cell r="I307">
            <v>1</v>
          </cell>
          <cell r="J307">
            <v>10695</v>
          </cell>
        </row>
        <row r="308">
          <cell r="B308" t="str">
            <v>ООС-0104-000169</v>
          </cell>
          <cell r="C308" t="str">
            <v>Сис. Блок Vei7</v>
          </cell>
          <cell r="D308">
            <v>36551</v>
          </cell>
          <cell r="E308">
            <v>3439.51</v>
          </cell>
          <cell r="F308">
            <v>1</v>
          </cell>
          <cell r="G308" t="str">
            <v xml:space="preserve">HP Vectra VEi7 DT C466-32M4.3G/S95      HPD8126A </v>
          </cell>
          <cell r="H308">
            <v>16955</v>
          </cell>
          <cell r="I308">
            <v>1</v>
          </cell>
          <cell r="J308">
            <v>16955</v>
          </cell>
        </row>
        <row r="309">
          <cell r="B309" t="str">
            <v>ООС-0104-000197</v>
          </cell>
          <cell r="C309" t="str">
            <v>Сис. Блок Vei8</v>
          </cell>
          <cell r="D309">
            <v>36628</v>
          </cell>
          <cell r="E309">
            <v>6284.94</v>
          </cell>
          <cell r="F309">
            <v>1</v>
          </cell>
          <cell r="G309" t="str">
            <v xml:space="preserve">DT P450-64Mb/4.3Gb/MATROX G200 AGP 8mB/3Com Lan      HPD8172N </v>
          </cell>
          <cell r="H309">
            <v>24009</v>
          </cell>
          <cell r="I309">
            <v>1</v>
          </cell>
          <cell r="J309">
            <v>24009</v>
          </cell>
        </row>
        <row r="310">
          <cell r="B310" t="str">
            <v>ООС-0104-000996</v>
          </cell>
          <cell r="C310" t="str">
            <v>Подьемник лифтер TM10</v>
          </cell>
          <cell r="D310">
            <v>38077</v>
          </cell>
          <cell r="E310">
            <v>68139.67</v>
          </cell>
          <cell r="F310">
            <v>1</v>
          </cell>
          <cell r="G310" t="str">
            <v xml:space="preserve">Подьемник гидравлический канавный,навесной г/п 10 тн </v>
          </cell>
          <cell r="H310">
            <v>41271</v>
          </cell>
          <cell r="I310">
            <v>1</v>
          </cell>
          <cell r="J310">
            <v>41271</v>
          </cell>
        </row>
        <row r="311">
          <cell r="B311" t="str">
            <v>ООС-0104-001003</v>
          </cell>
          <cell r="C311" t="str">
            <v>Пресс для Rptoplat</v>
          </cell>
          <cell r="D311">
            <v>38107</v>
          </cell>
          <cell r="E311">
            <v>17399.509999999998</v>
          </cell>
          <cell r="F311">
            <v>1</v>
          </cell>
          <cell r="G311" t="str">
            <v>Пресс  HP-800A Space Lab Enterprises Ltd</v>
          </cell>
          <cell r="H311">
            <v>15991</v>
          </cell>
          <cell r="I311">
            <v>1</v>
          </cell>
          <cell r="J311">
            <v>15991</v>
          </cell>
        </row>
        <row r="312">
          <cell r="B312" t="str">
            <v>ООС-0105-000526</v>
          </cell>
          <cell r="C312" t="str">
            <v>Стеллажи</v>
          </cell>
          <cell r="D312">
            <v>38077</v>
          </cell>
          <cell r="E312">
            <v>132089.93</v>
          </cell>
          <cell r="F312">
            <v>1</v>
          </cell>
          <cell r="G312" t="str">
            <v xml:space="preserve">Стеллаж WIKO-145 двусторонн. 900*500*1450 (1*300мм,1*400) х 2 </v>
          </cell>
          <cell r="H312">
            <v>117580</v>
          </cell>
          <cell r="I312">
            <v>1</v>
          </cell>
          <cell r="J312">
            <v>117580</v>
          </cell>
        </row>
        <row r="313">
          <cell r="B313" t="str">
            <v>ООС-0105-000527</v>
          </cell>
          <cell r="C313" t="str">
            <v>Стеллажи</v>
          </cell>
          <cell r="D313">
            <v>38077</v>
          </cell>
          <cell r="E313">
            <v>54972.23</v>
          </cell>
          <cell r="F313">
            <v>1</v>
          </cell>
          <cell r="G313" t="str">
            <v xml:space="preserve">Стеллаж WIKO-195 одностор. 900*500*1950,(1*300мм.,2*400мм) </v>
          </cell>
          <cell r="H313">
            <v>70547</v>
          </cell>
          <cell r="I313">
            <v>1</v>
          </cell>
          <cell r="J313">
            <v>70547</v>
          </cell>
        </row>
        <row r="314">
          <cell r="B314" t="str">
            <v>ООС-0104-000413</v>
          </cell>
          <cell r="C314" t="str">
            <v>Батарейка SUPS1000</v>
          </cell>
          <cell r="D314">
            <v>36979</v>
          </cell>
          <cell r="E314">
            <v>0</v>
          </cell>
          <cell r="F314">
            <v>1</v>
          </cell>
          <cell r="G314" t="str">
            <v>SU1000XLINET</v>
          </cell>
          <cell r="H314">
            <v>4421</v>
          </cell>
          <cell r="I314">
            <v>1</v>
          </cell>
          <cell r="J314">
            <v>4421</v>
          </cell>
        </row>
        <row r="315">
          <cell r="B315" t="str">
            <v>ООС-0104-000414</v>
          </cell>
          <cell r="C315" t="str">
            <v>Батарейка SUPS1000</v>
          </cell>
          <cell r="D315">
            <v>36979</v>
          </cell>
          <cell r="E315">
            <v>0</v>
          </cell>
          <cell r="F315">
            <v>1</v>
          </cell>
          <cell r="G315" t="str">
            <v>SU1000XLINET</v>
          </cell>
          <cell r="H315">
            <v>4421</v>
          </cell>
          <cell r="I315">
            <v>1</v>
          </cell>
          <cell r="J315">
            <v>4421</v>
          </cell>
        </row>
        <row r="316">
          <cell r="B316" t="str">
            <v>ООС-0104-000452</v>
          </cell>
          <cell r="C316" t="str">
            <v>Тел. Panasonic KT-ST15</v>
          </cell>
          <cell r="D316">
            <v>37165</v>
          </cell>
          <cell r="E316">
            <v>0</v>
          </cell>
          <cell r="F316">
            <v>1</v>
          </cell>
          <cell r="G316" t="str">
            <v xml:space="preserve">Телефон Panasonic KX-TCD512RU </v>
          </cell>
          <cell r="H316">
            <v>5096</v>
          </cell>
          <cell r="I316">
            <v>1</v>
          </cell>
          <cell r="J316">
            <v>5096</v>
          </cell>
        </row>
        <row r="317">
          <cell r="B317" t="str">
            <v>ООС-0104-000453</v>
          </cell>
          <cell r="C317" t="str">
            <v>Тел. Panasonic KT-ST15</v>
          </cell>
          <cell r="D317">
            <v>37165</v>
          </cell>
          <cell r="E317">
            <v>0</v>
          </cell>
          <cell r="F317">
            <v>1</v>
          </cell>
          <cell r="G317" t="str">
            <v xml:space="preserve">Телефон Panasonic KX-TCD512RU </v>
          </cell>
          <cell r="H317">
            <v>5096</v>
          </cell>
          <cell r="I317">
            <v>1</v>
          </cell>
          <cell r="J317">
            <v>5096</v>
          </cell>
        </row>
        <row r="318">
          <cell r="B318" t="str">
            <v>ООС-0104-000454</v>
          </cell>
          <cell r="C318" t="str">
            <v>Тел. Panasonic KT-ST15</v>
          </cell>
          <cell r="D318">
            <v>37165</v>
          </cell>
          <cell r="E318">
            <v>0</v>
          </cell>
          <cell r="F318">
            <v>1</v>
          </cell>
          <cell r="G318" t="str">
            <v xml:space="preserve">Телефон Panasonic KX-TCD512RU </v>
          </cell>
          <cell r="H318">
            <v>5096</v>
          </cell>
          <cell r="I318">
            <v>1</v>
          </cell>
          <cell r="J318">
            <v>5096</v>
          </cell>
        </row>
        <row r="319">
          <cell r="B319" t="str">
            <v>ООС-0104-000455</v>
          </cell>
          <cell r="C319" t="str">
            <v>Тел. Panasonic KT-ST15</v>
          </cell>
          <cell r="D319">
            <v>37165</v>
          </cell>
          <cell r="E319">
            <v>0</v>
          </cell>
          <cell r="F319">
            <v>1</v>
          </cell>
          <cell r="G319" t="str">
            <v xml:space="preserve">Телефон Panasonic KX-TCD512RU </v>
          </cell>
          <cell r="H319">
            <v>5096</v>
          </cell>
          <cell r="I319">
            <v>1</v>
          </cell>
          <cell r="J319">
            <v>5096</v>
          </cell>
        </row>
        <row r="320">
          <cell r="B320" t="str">
            <v>ООС-0104-000456</v>
          </cell>
          <cell r="C320" t="str">
            <v>Тел. Panasonic KT-ST15</v>
          </cell>
          <cell r="D320">
            <v>37165</v>
          </cell>
          <cell r="E320">
            <v>0</v>
          </cell>
          <cell r="F320">
            <v>1</v>
          </cell>
          <cell r="G320" t="str">
            <v xml:space="preserve">Телефон Panasonic KX-TCD512RU </v>
          </cell>
          <cell r="H320">
            <v>5096</v>
          </cell>
          <cell r="I320">
            <v>1</v>
          </cell>
          <cell r="J320">
            <v>5096</v>
          </cell>
        </row>
        <row r="321">
          <cell r="B321" t="str">
            <v>ООС-0104-000457</v>
          </cell>
          <cell r="C321" t="str">
            <v>Тел. Panasonic KT-ST15</v>
          </cell>
          <cell r="D321">
            <v>37165</v>
          </cell>
          <cell r="E321">
            <v>0</v>
          </cell>
          <cell r="F321">
            <v>1</v>
          </cell>
          <cell r="G321" t="str">
            <v xml:space="preserve">Телефон Panasonic KX-TCD512RU </v>
          </cell>
          <cell r="H321">
            <v>5096</v>
          </cell>
          <cell r="I321">
            <v>1</v>
          </cell>
          <cell r="J321">
            <v>5096</v>
          </cell>
        </row>
        <row r="322">
          <cell r="B322" t="str">
            <v>ООС-0104-000657</v>
          </cell>
          <cell r="C322" t="str">
            <v>Принтер HPLJ4050</v>
          </cell>
          <cell r="D322">
            <v>37622</v>
          </cell>
          <cell r="E322">
            <v>21392.58</v>
          </cell>
          <cell r="F322">
            <v>1</v>
          </cell>
          <cell r="G322" t="str">
            <v xml:space="preserve">HP LaserJet 4050N (C4253A) A4 16 стр/ мин сетевой 1200dpi </v>
          </cell>
          <cell r="H322">
            <v>44522</v>
          </cell>
          <cell r="I322">
            <v>1</v>
          </cell>
          <cell r="J322">
            <v>44522</v>
          </cell>
        </row>
        <row r="323">
          <cell r="B323" t="str">
            <v>ООС-0104-000669</v>
          </cell>
          <cell r="C323" t="str">
            <v>Монитор HP 55</v>
          </cell>
          <cell r="D323">
            <v>37622</v>
          </cell>
          <cell r="E323">
            <v>0</v>
          </cell>
          <cell r="F323">
            <v>3</v>
          </cell>
          <cell r="G323" t="str">
            <v xml:space="preserve">Монитор 15'' ViewSonic E651 </v>
          </cell>
          <cell r="H323">
            <v>4021</v>
          </cell>
          <cell r="I323">
            <v>1</v>
          </cell>
          <cell r="J323">
            <v>12063</v>
          </cell>
        </row>
        <row r="324">
          <cell r="B324" t="str">
            <v>ООС-0104-000694</v>
          </cell>
          <cell r="C324" t="str">
            <v>Сис. Блок VL400</v>
          </cell>
          <cell r="D324">
            <v>37622</v>
          </cell>
          <cell r="E324">
            <v>13914.36</v>
          </cell>
          <cell r="F324">
            <v>1</v>
          </cell>
          <cell r="G324" t="str">
            <v>Celeron/900 MHz/64 Mb/20000 Mb/SVGA Hewlett-Packard ПК HP Vectra VL400, Cel 900MHz, 64MB PC133 SDRAM, 20GB, AGP</v>
          </cell>
          <cell r="H324">
            <v>11076</v>
          </cell>
          <cell r="I324">
            <v>1</v>
          </cell>
          <cell r="J324">
            <v>11076</v>
          </cell>
        </row>
        <row r="325">
          <cell r="B325" t="str">
            <v>ООС-0104-000946</v>
          </cell>
          <cell r="C325" t="str">
            <v xml:space="preserve">Сервер HP LH </v>
          </cell>
          <cell r="D325">
            <v>38034</v>
          </cell>
          <cell r="E325">
            <v>24861.64</v>
          </cell>
          <cell r="F325">
            <v>1</v>
          </cell>
          <cell r="G325" t="str">
            <v xml:space="preserve">HP SP 1Y PWAR 24x7 Netserver LH/LT6000 </v>
          </cell>
          <cell r="H325">
            <v>34615</v>
          </cell>
          <cell r="I325">
            <v>1</v>
          </cell>
          <cell r="J325">
            <v>34615</v>
          </cell>
        </row>
        <row r="326">
          <cell r="B326" t="str">
            <v>ООС-0104-000969</v>
          </cell>
          <cell r="C326" t="str">
            <v>Сис. Блок Vei8</v>
          </cell>
          <cell r="D326">
            <v>38034</v>
          </cell>
          <cell r="E326">
            <v>13559.65</v>
          </cell>
          <cell r="F326">
            <v>1</v>
          </cell>
          <cell r="G326" t="str">
            <v xml:space="preserve">DT P450-64Mb/4.3Gb/MATROX G200 AGP 8mB/3Com Lan      HPD8172N </v>
          </cell>
          <cell r="H326">
            <v>24009</v>
          </cell>
          <cell r="I326">
            <v>1</v>
          </cell>
          <cell r="J326">
            <v>24009</v>
          </cell>
        </row>
        <row r="327">
          <cell r="B327" t="str">
            <v>ООС-0104-000970</v>
          </cell>
          <cell r="C327" t="str">
            <v>Сис. Блок HPE-ps40</v>
          </cell>
          <cell r="D327">
            <v>38034</v>
          </cell>
          <cell r="E327">
            <v>13559.65</v>
          </cell>
          <cell r="F327">
            <v>1</v>
          </cell>
          <cell r="G327" t="str">
            <v xml:space="preserve">HP Vectra VEi7 DT C466-32M4.3G/S95      HPD8126A </v>
          </cell>
          <cell r="H327">
            <v>16955</v>
          </cell>
          <cell r="I327">
            <v>1</v>
          </cell>
          <cell r="J327">
            <v>16955</v>
          </cell>
        </row>
        <row r="328">
          <cell r="B328" t="str">
            <v>ООС-0104-000971</v>
          </cell>
          <cell r="C328" t="str">
            <v>Сис. Блок  HP Ve5</v>
          </cell>
          <cell r="D328">
            <v>38034</v>
          </cell>
          <cell r="E328">
            <v>13559.65</v>
          </cell>
          <cell r="F328">
            <v>1</v>
          </cell>
          <cell r="G328" t="str">
            <v xml:space="preserve">HP Vectra VEi7 DT C466-32M4.3G/S95      HPD8126A </v>
          </cell>
          <cell r="H328">
            <v>16955</v>
          </cell>
          <cell r="I328">
            <v>1</v>
          </cell>
          <cell r="J328">
            <v>16955</v>
          </cell>
        </row>
        <row r="329">
          <cell r="B329" t="str">
            <v>ООС-0104-000972</v>
          </cell>
          <cell r="C329" t="str">
            <v>Сис. Блок HP VE5D5602</v>
          </cell>
          <cell r="D329">
            <v>38034</v>
          </cell>
          <cell r="E329">
            <v>13559.65</v>
          </cell>
          <cell r="F329">
            <v>1</v>
          </cell>
          <cell r="G329" t="str">
            <v xml:space="preserve">HP Vectra VEi7 DT C466-32M4.3G/S95      HPD8126A </v>
          </cell>
          <cell r="H329">
            <v>16955</v>
          </cell>
          <cell r="I329">
            <v>1</v>
          </cell>
          <cell r="J329">
            <v>16955</v>
          </cell>
        </row>
        <row r="330">
          <cell r="B330" t="str">
            <v>ООС-0104-000973</v>
          </cell>
          <cell r="C330" t="str">
            <v>Сис. Блок HPVE5D5602</v>
          </cell>
          <cell r="D330">
            <v>38034</v>
          </cell>
          <cell r="E330">
            <v>13559.65</v>
          </cell>
          <cell r="F330">
            <v>1</v>
          </cell>
          <cell r="G330" t="str">
            <v xml:space="preserve">HP Vectra VEi7 DT C466-32M4.3G/S95      HPD8126A </v>
          </cell>
          <cell r="H330">
            <v>16955</v>
          </cell>
          <cell r="I330">
            <v>1</v>
          </cell>
          <cell r="J330">
            <v>16955</v>
          </cell>
        </row>
        <row r="331">
          <cell r="B331" t="str">
            <v>ООС-0104-000974</v>
          </cell>
          <cell r="C331" t="str">
            <v>Сис. Блок VI410</v>
          </cell>
          <cell r="D331">
            <v>38034</v>
          </cell>
          <cell r="E331">
            <v>13559.65</v>
          </cell>
          <cell r="F331">
            <v>1</v>
          </cell>
          <cell r="G331" t="str">
            <v>Pentium 4/1600 MHz/256 Mb/20000 Mb/SVGA Hewlett-Packard HP Vectra VL410 DT P4-1.6GHz 256M20G CDLAN W98 (P5974A</v>
          </cell>
          <cell r="H331">
            <v>19894</v>
          </cell>
          <cell r="I331">
            <v>1</v>
          </cell>
          <cell r="J331">
            <v>19894</v>
          </cell>
        </row>
        <row r="332">
          <cell r="B332" t="str">
            <v>ООС-0104-000975</v>
          </cell>
          <cell r="C332" t="str">
            <v>Сис. Блок VI410</v>
          </cell>
          <cell r="D332">
            <v>38034</v>
          </cell>
          <cell r="E332">
            <v>13559.65</v>
          </cell>
          <cell r="F332">
            <v>1</v>
          </cell>
          <cell r="G332" t="str">
            <v>Pentium 4/1600 MHz/256 Mb/20000 Mb/SVGA Hewlett-Packard HP Vectra VL410 DT P4-1.6GHz 256M20G CDLAN W98 (P5974A</v>
          </cell>
          <cell r="H332">
            <v>19894</v>
          </cell>
          <cell r="I332">
            <v>1</v>
          </cell>
          <cell r="J332">
            <v>19894</v>
          </cell>
        </row>
        <row r="333">
          <cell r="B333" t="str">
            <v>ООС-0104-000976</v>
          </cell>
          <cell r="C333" t="str">
            <v>Сис. Блок VE5 D5602</v>
          </cell>
          <cell r="D333">
            <v>38034</v>
          </cell>
          <cell r="E333">
            <v>13559.65</v>
          </cell>
          <cell r="F333">
            <v>1</v>
          </cell>
          <cell r="G333" t="str">
            <v xml:space="preserve">HP Vectra VEi7 DT C466-32M4.3G/S95      HPD8126A </v>
          </cell>
          <cell r="H333">
            <v>16955</v>
          </cell>
          <cell r="I333">
            <v>1</v>
          </cell>
          <cell r="J333">
            <v>16955</v>
          </cell>
        </row>
        <row r="334">
          <cell r="B334" t="str">
            <v>ООС-0104-000165</v>
          </cell>
          <cell r="C334" t="str">
            <v>Сет. Оборуд.Cisco1600</v>
          </cell>
          <cell r="D334">
            <v>36556</v>
          </cell>
          <cell r="E334">
            <v>3700.45</v>
          </cell>
          <cell r="F334">
            <v>1</v>
          </cell>
          <cell r="G334" t="str">
            <v xml:space="preserve">Маршрутизатор Cisco 1601, Ethernet/Serial Modular Router, 4M Flash/8M DRAM </v>
          </cell>
          <cell r="H334">
            <v>28196</v>
          </cell>
          <cell r="I334">
            <v>1</v>
          </cell>
          <cell r="J334">
            <v>28196</v>
          </cell>
        </row>
        <row r="335">
          <cell r="B335" t="str">
            <v>ООС-0104-000166</v>
          </cell>
          <cell r="C335" t="str">
            <v>Сет. Оборуд.Cisco1601</v>
          </cell>
          <cell r="D335">
            <v>36556</v>
          </cell>
          <cell r="E335">
            <v>3700.45</v>
          </cell>
          <cell r="F335">
            <v>1</v>
          </cell>
          <cell r="G335" t="str">
            <v xml:space="preserve">Маршрутизатор Cisco 1601, Ethernet/Serial Modular Router, 4M Flash/8M DRAM </v>
          </cell>
          <cell r="H335">
            <v>28196</v>
          </cell>
          <cell r="I335">
            <v>1</v>
          </cell>
          <cell r="J335">
            <v>28196</v>
          </cell>
        </row>
        <row r="336">
          <cell r="B336" t="str">
            <v>ООС-0104-000168</v>
          </cell>
          <cell r="C336" t="str">
            <v>Сис. Блок Vei7</v>
          </cell>
          <cell r="D336">
            <v>36551</v>
          </cell>
          <cell r="E336">
            <v>3439.51</v>
          </cell>
          <cell r="F336">
            <v>1</v>
          </cell>
          <cell r="G336" t="str">
            <v xml:space="preserve">HP Vectra VEi7 DT C466-32M4.3G/S95      HPD8126A </v>
          </cell>
          <cell r="H336">
            <v>16955</v>
          </cell>
          <cell r="I336">
            <v>1</v>
          </cell>
          <cell r="J336">
            <v>16955</v>
          </cell>
        </row>
        <row r="337">
          <cell r="B337" t="str">
            <v>ООС-0104-000172</v>
          </cell>
          <cell r="C337" t="str">
            <v>Копп. Апп. Rex-Rotaru2827</v>
          </cell>
          <cell r="D337">
            <v>36571</v>
          </cell>
          <cell r="E337">
            <v>22249.74</v>
          </cell>
          <cell r="F337">
            <v>1</v>
          </cell>
          <cell r="G337" t="str">
            <v>Rex Rotary 8612</v>
          </cell>
          <cell r="H337">
            <v>15820</v>
          </cell>
          <cell r="I337">
            <v>1</v>
          </cell>
          <cell r="J337">
            <v>15820</v>
          </cell>
        </row>
        <row r="338">
          <cell r="B338" t="str">
            <v>ООС-0104-000225</v>
          </cell>
          <cell r="C338" t="str">
            <v>Факс Panafax uf s2</v>
          </cell>
          <cell r="D338">
            <v>36683</v>
          </cell>
          <cell r="E338">
            <v>0</v>
          </cell>
          <cell r="F338">
            <v>1</v>
          </cell>
          <cell r="G338" t="str">
            <v xml:space="preserve">Факс Panasonic KX-FL503RU </v>
          </cell>
          <cell r="H338">
            <v>8729</v>
          </cell>
          <cell r="I338">
            <v>1</v>
          </cell>
          <cell r="J338">
            <v>8729</v>
          </cell>
        </row>
        <row r="339">
          <cell r="B339" t="str">
            <v>ООС-0104-000284</v>
          </cell>
          <cell r="C339" t="str">
            <v>Копп. Апп. Rex-Rotaru5110</v>
          </cell>
          <cell r="D339">
            <v>36711</v>
          </cell>
          <cell r="E339">
            <v>31416.6</v>
          </cell>
          <cell r="F339">
            <v>1</v>
          </cell>
          <cell r="G339" t="str">
            <v>Rex Rotary 8612</v>
          </cell>
          <cell r="H339">
            <v>15820</v>
          </cell>
          <cell r="I339">
            <v>1</v>
          </cell>
          <cell r="J339">
            <v>15820</v>
          </cell>
        </row>
        <row r="340">
          <cell r="B340" t="str">
            <v>ООС-0104-000289</v>
          </cell>
          <cell r="C340" t="str">
            <v>Сис. Блок Vei7</v>
          </cell>
          <cell r="D340">
            <v>36728</v>
          </cell>
          <cell r="E340">
            <v>4487.7</v>
          </cell>
          <cell r="F340">
            <v>1</v>
          </cell>
          <cell r="G340" t="str">
            <v xml:space="preserve">HP Vectra VEi7 DT C466-32M4.3G/S95      HPD8126A </v>
          </cell>
          <cell r="H340">
            <v>16955</v>
          </cell>
          <cell r="I340">
            <v>1</v>
          </cell>
          <cell r="J340">
            <v>16955</v>
          </cell>
        </row>
        <row r="341">
          <cell r="B341" t="str">
            <v>ООС-0104-000290</v>
          </cell>
          <cell r="C341" t="str">
            <v>Сис. Блок Vei7</v>
          </cell>
          <cell r="D341">
            <v>36728</v>
          </cell>
          <cell r="E341">
            <v>4487.7</v>
          </cell>
          <cell r="F341">
            <v>1</v>
          </cell>
          <cell r="G341" t="str">
            <v xml:space="preserve">HP Vectra VEi7 DT C466-32M4.3G/S95      HPD8126A </v>
          </cell>
          <cell r="H341">
            <v>16955</v>
          </cell>
          <cell r="I341">
            <v>1</v>
          </cell>
          <cell r="J341">
            <v>16955</v>
          </cell>
        </row>
        <row r="342">
          <cell r="B342" t="str">
            <v>ООС-0104-000291</v>
          </cell>
          <cell r="C342" t="str">
            <v>Сис. Блок Vei7</v>
          </cell>
          <cell r="D342">
            <v>36728</v>
          </cell>
          <cell r="E342">
            <v>4487.7</v>
          </cell>
          <cell r="F342">
            <v>1</v>
          </cell>
          <cell r="G342" t="str">
            <v xml:space="preserve">HP Vectra VEi7 DT C466-32M4.3G/S95      HPD8126A </v>
          </cell>
          <cell r="H342">
            <v>16955</v>
          </cell>
          <cell r="I342">
            <v>1</v>
          </cell>
          <cell r="J342">
            <v>16955</v>
          </cell>
        </row>
        <row r="343">
          <cell r="B343" t="str">
            <v>ООС-0104-000292</v>
          </cell>
          <cell r="C343" t="str">
            <v>Сис. Блок Vei7</v>
          </cell>
          <cell r="D343">
            <v>36728</v>
          </cell>
          <cell r="E343">
            <v>4487.7</v>
          </cell>
          <cell r="F343">
            <v>1</v>
          </cell>
          <cell r="G343" t="str">
            <v xml:space="preserve">HP Vectra VEi7 DT C466-32M4.3G/S95      HPD8126A </v>
          </cell>
          <cell r="H343">
            <v>16955</v>
          </cell>
          <cell r="I343">
            <v>1</v>
          </cell>
          <cell r="J343">
            <v>16955</v>
          </cell>
        </row>
        <row r="344">
          <cell r="B344" t="str">
            <v>ООС-0104-000293</v>
          </cell>
          <cell r="C344" t="str">
            <v>Сис. Блок Vei7</v>
          </cell>
          <cell r="D344">
            <v>36728</v>
          </cell>
          <cell r="E344">
            <v>4487.7</v>
          </cell>
          <cell r="F344">
            <v>1</v>
          </cell>
          <cell r="G344" t="str">
            <v xml:space="preserve">HP Vectra VEi7 DT C466-32M4.3G/S95      HPD8126A </v>
          </cell>
          <cell r="H344">
            <v>16955</v>
          </cell>
          <cell r="I344">
            <v>1</v>
          </cell>
          <cell r="J344">
            <v>16955</v>
          </cell>
        </row>
        <row r="345">
          <cell r="B345" t="str">
            <v>ООС-0104-000308</v>
          </cell>
          <cell r="C345" t="str">
            <v>Копп. Апп. Rex-Rotaru8851</v>
          </cell>
          <cell r="D345">
            <v>36739</v>
          </cell>
          <cell r="E345">
            <v>57116.93</v>
          </cell>
          <cell r="F345">
            <v>1</v>
          </cell>
          <cell r="G345" t="str">
            <v>Rex Rotary 8612</v>
          </cell>
          <cell r="H345">
            <v>15820</v>
          </cell>
          <cell r="I345">
            <v>1</v>
          </cell>
          <cell r="J345">
            <v>15820</v>
          </cell>
        </row>
        <row r="346">
          <cell r="B346" t="str">
            <v>ООС-0104-000671</v>
          </cell>
          <cell r="C346" t="str">
            <v>Принтер HPLJ4050</v>
          </cell>
          <cell r="D346">
            <v>37622</v>
          </cell>
          <cell r="E346">
            <v>20993.96</v>
          </cell>
          <cell r="F346">
            <v>1</v>
          </cell>
          <cell r="G346" t="str">
            <v xml:space="preserve">HP LaserJet 4050N (C4253A) A4 16 стр/ мин сетевой 1200dpi </v>
          </cell>
          <cell r="H346">
            <v>44522</v>
          </cell>
          <cell r="I346">
            <v>1</v>
          </cell>
          <cell r="J346">
            <v>44522</v>
          </cell>
        </row>
        <row r="347">
          <cell r="B347" t="str">
            <v>ООС-0104-000673</v>
          </cell>
          <cell r="C347" t="str">
            <v>Сис.блк+монит.VL400DT</v>
          </cell>
          <cell r="D347">
            <v>37622</v>
          </cell>
          <cell r="E347">
            <v>10797.03</v>
          </cell>
          <cell r="F347">
            <v>2</v>
          </cell>
          <cell r="G347" t="str">
            <v xml:space="preserve">Celeron/900 MHz/64 Mb/20000 Mb/SVGA Hewlett-Packard ПК HP Vectra VL400, Cel 900MHz, 64MB PC133 SDRAM, 20GB, AGP и ViewSonic VP 140 TCO'99 </v>
          </cell>
          <cell r="H347">
            <v>17190</v>
          </cell>
          <cell r="I347">
            <v>1</v>
          </cell>
          <cell r="J347">
            <v>34380</v>
          </cell>
        </row>
        <row r="348">
          <cell r="B348" t="str">
            <v>ООС-0104-000674</v>
          </cell>
          <cell r="C348" t="str">
            <v>Ноутбук Satell 2805-S302</v>
          </cell>
          <cell r="D348">
            <v>37622</v>
          </cell>
          <cell r="E348">
            <v>29306.04</v>
          </cell>
          <cell r="F348">
            <v>1</v>
          </cell>
          <cell r="G348" t="str">
            <v xml:space="preserve">Ноутбук Toshiba Satellite 2805-S302 </v>
          </cell>
          <cell r="H348">
            <v>13875</v>
          </cell>
          <cell r="I348">
            <v>1</v>
          </cell>
          <cell r="J348">
            <v>13875</v>
          </cell>
        </row>
        <row r="349">
          <cell r="B349" t="str">
            <v>ООС-0104-000699</v>
          </cell>
          <cell r="C349" t="str">
            <v>Принтер HP LJ1100</v>
          </cell>
          <cell r="D349">
            <v>37622</v>
          </cell>
          <cell r="E349">
            <v>4115.6899999999996</v>
          </cell>
          <cell r="F349">
            <v>1</v>
          </cell>
          <cell r="G349" t="str">
            <v xml:space="preserve">Принтер HP LaserJet 1100 (C4224A) 8 стр/ мин </v>
          </cell>
          <cell r="H349">
            <v>8653</v>
          </cell>
          <cell r="I349">
            <v>1</v>
          </cell>
          <cell r="J349">
            <v>8653</v>
          </cell>
        </row>
        <row r="350">
          <cell r="B350" t="str">
            <v>ООС-0104-000616</v>
          </cell>
          <cell r="C350" t="str">
            <v>Сис. Блок Brio BA</v>
          </cell>
          <cell r="D350">
            <v>37622</v>
          </cell>
          <cell r="E350">
            <v>18145.919999999998</v>
          </cell>
          <cell r="F350">
            <v>1</v>
          </cell>
          <cell r="G350" t="str">
            <v>Hewlett-Packard (HP) P1711A Системный блок HP Brio BA 410 P1711A P3-733 64MB 10GB CD-48x W98Engl</v>
          </cell>
          <cell r="H350">
            <v>5879</v>
          </cell>
          <cell r="I350">
            <v>1</v>
          </cell>
          <cell r="J350">
            <v>5879</v>
          </cell>
        </row>
        <row r="351">
          <cell r="B351" t="str">
            <v>ООС-0104-000620</v>
          </cell>
          <cell r="C351" t="str">
            <v>Принтер HPLJ1100</v>
          </cell>
          <cell r="D351">
            <v>37622</v>
          </cell>
          <cell r="E351">
            <v>6369.71</v>
          </cell>
          <cell r="F351">
            <v>1</v>
          </cell>
          <cell r="G351" t="str">
            <v xml:space="preserve">Принтер HP LaserJet 1100 (C4224A) 8 стр/ мин </v>
          </cell>
          <cell r="H351">
            <v>8653</v>
          </cell>
          <cell r="I351">
            <v>1</v>
          </cell>
          <cell r="J351">
            <v>8653</v>
          </cell>
        </row>
        <row r="352">
          <cell r="B352" t="str">
            <v>ООС-014-000404</v>
          </cell>
          <cell r="C352" t="str">
            <v>Ксерокс Rex-Rotaru</v>
          </cell>
          <cell r="D352">
            <v>36948</v>
          </cell>
          <cell r="E352">
            <v>91009.27</v>
          </cell>
          <cell r="F352">
            <v>1</v>
          </cell>
          <cell r="G352" t="str">
            <v xml:space="preserve">КОПИР MB 5815 </v>
          </cell>
          <cell r="H352">
            <v>28807</v>
          </cell>
          <cell r="I352">
            <v>1</v>
          </cell>
          <cell r="J352">
            <v>28807</v>
          </cell>
        </row>
        <row r="353">
          <cell r="B353" t="str">
            <v>ООС-0104-000415</v>
          </cell>
          <cell r="C353" t="str">
            <v>Батарейка UPS1000</v>
          </cell>
          <cell r="D353">
            <v>36979</v>
          </cell>
          <cell r="E353">
            <v>0</v>
          </cell>
          <cell r="F353">
            <v>1</v>
          </cell>
          <cell r="G353" t="str">
            <v>SU1000XLINET</v>
          </cell>
          <cell r="H353">
            <v>4421</v>
          </cell>
          <cell r="I353">
            <v>1</v>
          </cell>
          <cell r="J353">
            <v>4421</v>
          </cell>
        </row>
        <row r="354">
          <cell r="B354" t="str">
            <v>ООС-0104-000432</v>
          </cell>
          <cell r="C354" t="str">
            <v>Масленный радиатор</v>
          </cell>
          <cell r="D354">
            <v>37000</v>
          </cell>
          <cell r="E354">
            <v>0</v>
          </cell>
          <cell r="F354">
            <v>1</v>
          </cell>
          <cell r="G354" t="str">
            <v xml:space="preserve">Масленые радиаторы DELONGHI R 030715 V RADIA </v>
          </cell>
          <cell r="H354">
            <v>1851</v>
          </cell>
          <cell r="I354">
            <v>1</v>
          </cell>
          <cell r="J354">
            <v>1851</v>
          </cell>
        </row>
        <row r="355">
          <cell r="B355" t="str">
            <v>ООС-0104-000433</v>
          </cell>
          <cell r="C355" t="str">
            <v>Масленный радиатор</v>
          </cell>
          <cell r="D355">
            <v>37000</v>
          </cell>
          <cell r="E355">
            <v>0</v>
          </cell>
          <cell r="F355">
            <v>1</v>
          </cell>
          <cell r="G355" t="str">
            <v xml:space="preserve">Масленые радиаторы DELONGHI R 030715 V RADIA </v>
          </cell>
          <cell r="H355">
            <v>1851</v>
          </cell>
          <cell r="I355">
            <v>1</v>
          </cell>
          <cell r="J355">
            <v>1851</v>
          </cell>
        </row>
        <row r="356">
          <cell r="B356" t="str">
            <v>ООС-0104-000434</v>
          </cell>
          <cell r="C356" t="str">
            <v>Масленный радиатор</v>
          </cell>
          <cell r="D356">
            <v>37000</v>
          </cell>
          <cell r="E356">
            <v>0</v>
          </cell>
          <cell r="F356">
            <v>1</v>
          </cell>
          <cell r="G356" t="str">
            <v xml:space="preserve">Масленые радиаторы DELONGHI R 030715 V RADIA </v>
          </cell>
          <cell r="H356">
            <v>1851</v>
          </cell>
          <cell r="I356">
            <v>1</v>
          </cell>
          <cell r="J356">
            <v>1851</v>
          </cell>
        </row>
        <row r="357">
          <cell r="B357" t="str">
            <v>ООС-0104-000435</v>
          </cell>
          <cell r="C357" t="str">
            <v>Масленный радиатор</v>
          </cell>
          <cell r="D357">
            <v>37000</v>
          </cell>
          <cell r="E357">
            <v>0</v>
          </cell>
          <cell r="F357">
            <v>1</v>
          </cell>
          <cell r="G357" t="str">
            <v xml:space="preserve">Масленые радиаторы DELONGHI R 030715 V RADIA </v>
          </cell>
          <cell r="H357">
            <v>1851</v>
          </cell>
          <cell r="I357">
            <v>1</v>
          </cell>
          <cell r="J357">
            <v>1851</v>
          </cell>
        </row>
        <row r="358">
          <cell r="B358" t="str">
            <v>ООС-0104-000436</v>
          </cell>
          <cell r="C358" t="str">
            <v>Масленный радиатор</v>
          </cell>
          <cell r="D358">
            <v>37000</v>
          </cell>
          <cell r="E358">
            <v>0</v>
          </cell>
          <cell r="F358">
            <v>1</v>
          </cell>
          <cell r="G358" t="str">
            <v xml:space="preserve">Масленые радиаторы DELONGHI R 030715 V RADIA </v>
          </cell>
          <cell r="H358">
            <v>1851</v>
          </cell>
          <cell r="I358">
            <v>1</v>
          </cell>
          <cell r="J358">
            <v>1851</v>
          </cell>
        </row>
        <row r="359">
          <cell r="B359" t="str">
            <v>ООС-0104-000437</v>
          </cell>
          <cell r="C359" t="str">
            <v>Масленный радиатор</v>
          </cell>
          <cell r="D359">
            <v>37000</v>
          </cell>
          <cell r="E359">
            <v>0</v>
          </cell>
          <cell r="F359">
            <v>1</v>
          </cell>
          <cell r="G359" t="str">
            <v xml:space="preserve">Масленые радиаторы DELONGHI R 030715 V RADIA </v>
          </cell>
          <cell r="H359">
            <v>1851</v>
          </cell>
          <cell r="I359">
            <v>1</v>
          </cell>
          <cell r="J359">
            <v>1851</v>
          </cell>
        </row>
        <row r="360">
          <cell r="B360" t="str">
            <v>ООС-0104-000349</v>
          </cell>
          <cell r="C360" t="str">
            <v>Установка для запуска</v>
          </cell>
          <cell r="D360">
            <v>36868</v>
          </cell>
          <cell r="E360">
            <v>10925.2</v>
          </cell>
          <cell r="F360">
            <v>1</v>
          </cell>
          <cell r="G360" t="str">
            <v xml:space="preserve">Установка для запуска двигателей 380В 500-1000А </v>
          </cell>
          <cell r="H360">
            <v>23636</v>
          </cell>
          <cell r="I360">
            <v>1</v>
          </cell>
          <cell r="J360">
            <v>23636</v>
          </cell>
        </row>
        <row r="361">
          <cell r="B361" t="str">
            <v>ООС-0104-000370</v>
          </cell>
          <cell r="C361" t="str">
            <v>Аппарат копп. MB5615</v>
          </cell>
          <cell r="D361">
            <v>36861</v>
          </cell>
          <cell r="E361">
            <v>18498.27</v>
          </cell>
          <cell r="F361">
            <v>1</v>
          </cell>
          <cell r="G361" t="str">
            <v xml:space="preserve">КОПИР MB 5815 </v>
          </cell>
          <cell r="H361">
            <v>28807</v>
          </cell>
          <cell r="I361">
            <v>1</v>
          </cell>
          <cell r="J361">
            <v>28807</v>
          </cell>
        </row>
        <row r="362">
          <cell r="B362" t="str">
            <v>ООС-0104-000470</v>
          </cell>
          <cell r="C362" t="str">
            <v>Тел. Ericsson T28</v>
          </cell>
          <cell r="D362">
            <v>37235</v>
          </cell>
          <cell r="E362">
            <v>0</v>
          </cell>
          <cell r="F362">
            <v>1</v>
          </cell>
          <cell r="G362" t="str">
            <v>Ericsson T28</v>
          </cell>
          <cell r="H362">
            <v>3644</v>
          </cell>
          <cell r="I362">
            <v>1</v>
          </cell>
          <cell r="J362">
            <v>3644</v>
          </cell>
        </row>
        <row r="363">
          <cell r="B363" t="str">
            <v>ООС-0105-000427</v>
          </cell>
          <cell r="C363" t="str">
            <v>Шкаф ШРМ 22</v>
          </cell>
          <cell r="D363">
            <v>36986</v>
          </cell>
          <cell r="E363">
            <v>0</v>
          </cell>
          <cell r="F363">
            <v>1</v>
          </cell>
          <cell r="G363" t="str">
            <v xml:space="preserve">Шкаф металлический ШРМ-22/2 </v>
          </cell>
          <cell r="H363">
            <v>4119</v>
          </cell>
          <cell r="I363">
            <v>1</v>
          </cell>
          <cell r="J363">
            <v>4119</v>
          </cell>
        </row>
        <row r="364">
          <cell r="B364" t="str">
            <v>ООС-0105-000428</v>
          </cell>
          <cell r="C364" t="str">
            <v>Шкаф ШРМ 14</v>
          </cell>
          <cell r="D364">
            <v>36986</v>
          </cell>
          <cell r="E364">
            <v>0</v>
          </cell>
          <cell r="F364">
            <v>1</v>
          </cell>
          <cell r="G364" t="str">
            <v xml:space="preserve">Шкаф металлический ШРМ-14 
</v>
          </cell>
          <cell r="H364">
            <v>2818</v>
          </cell>
          <cell r="I364">
            <v>1</v>
          </cell>
          <cell r="J364">
            <v>2818</v>
          </cell>
        </row>
        <row r="365">
          <cell r="B365" t="str">
            <v>ООС-0105-000429</v>
          </cell>
          <cell r="C365" t="str">
            <v>Шкаф ШРМ 14</v>
          </cell>
          <cell r="D365">
            <v>36986</v>
          </cell>
          <cell r="E365">
            <v>0</v>
          </cell>
          <cell r="F365">
            <v>1</v>
          </cell>
          <cell r="G365" t="str">
            <v xml:space="preserve">Шкаф металлический ШРМ-14 
</v>
          </cell>
          <cell r="H365">
            <v>2818</v>
          </cell>
          <cell r="I365">
            <v>1</v>
          </cell>
          <cell r="J365">
            <v>2818</v>
          </cell>
        </row>
        <row r="366">
          <cell r="B366" t="str">
            <v>ООС-0105-000430</v>
          </cell>
          <cell r="C366" t="str">
            <v>Шкаф ШРМ 14</v>
          </cell>
          <cell r="D366">
            <v>36986</v>
          </cell>
          <cell r="E366">
            <v>0</v>
          </cell>
          <cell r="F366">
            <v>1</v>
          </cell>
          <cell r="G366" t="str">
            <v xml:space="preserve">Шкаф металлический ШРМ-14 
</v>
          </cell>
          <cell r="H366">
            <v>2818</v>
          </cell>
          <cell r="I366">
            <v>1</v>
          </cell>
          <cell r="J366">
            <v>2818</v>
          </cell>
        </row>
        <row r="367">
          <cell r="B367" t="str">
            <v>ООС-0105-000431</v>
          </cell>
          <cell r="C367" t="str">
            <v>Шкаф ШРМ 14</v>
          </cell>
          <cell r="D367">
            <v>36986</v>
          </cell>
          <cell r="E367">
            <v>0</v>
          </cell>
          <cell r="F367">
            <v>1</v>
          </cell>
          <cell r="G367" t="str">
            <v xml:space="preserve">Шкаф металлический ШРМ-14 
</v>
          </cell>
          <cell r="H367">
            <v>2818</v>
          </cell>
          <cell r="I367">
            <v>1</v>
          </cell>
          <cell r="J367">
            <v>2818</v>
          </cell>
        </row>
        <row r="368">
          <cell r="B368" t="str">
            <v>ООС-0104-000202</v>
          </cell>
          <cell r="C368" t="str">
            <v>Сис. Блок Vei7</v>
          </cell>
          <cell r="D368">
            <v>36636</v>
          </cell>
          <cell r="E368">
            <v>5278.49</v>
          </cell>
          <cell r="F368">
            <v>1</v>
          </cell>
          <cell r="G368" t="str">
            <v xml:space="preserve">HP Vectra VEi7 DT C466-32M4.3G/S95      HPD8126A </v>
          </cell>
          <cell r="H368">
            <v>16955</v>
          </cell>
          <cell r="I368">
            <v>1</v>
          </cell>
          <cell r="J368">
            <v>16955</v>
          </cell>
        </row>
        <row r="369">
          <cell r="B369" t="str">
            <v>ООС-0104-000203</v>
          </cell>
          <cell r="C369" t="str">
            <v>Сис. Блок Vei7</v>
          </cell>
          <cell r="D369">
            <v>36636</v>
          </cell>
          <cell r="E369">
            <v>5278.49</v>
          </cell>
          <cell r="F369">
            <v>1</v>
          </cell>
          <cell r="G369" t="str">
            <v xml:space="preserve">HP Vectra VEi7 DT C466-32M4.3G/S95      HPD8126A </v>
          </cell>
          <cell r="H369">
            <v>16955</v>
          </cell>
          <cell r="I369">
            <v>1</v>
          </cell>
          <cell r="J369">
            <v>16955</v>
          </cell>
        </row>
        <row r="370">
          <cell r="B370" t="str">
            <v>ООС-0104-000212</v>
          </cell>
          <cell r="C370" t="str">
            <v>Сис. Блок Vei7</v>
          </cell>
          <cell r="D370">
            <v>36675</v>
          </cell>
          <cell r="E370">
            <v>5245.26</v>
          </cell>
          <cell r="F370">
            <v>1</v>
          </cell>
          <cell r="G370" t="str">
            <v xml:space="preserve">HP Vectra VEi7 DT C466-32M4.3G/S95      HPD8126A </v>
          </cell>
          <cell r="H370">
            <v>16955</v>
          </cell>
          <cell r="I370">
            <v>1</v>
          </cell>
          <cell r="J370">
            <v>16955</v>
          </cell>
        </row>
        <row r="371">
          <cell r="B371" t="str">
            <v>ООС-0104-000213</v>
          </cell>
          <cell r="C371" t="str">
            <v>Сис. Блок Vei7</v>
          </cell>
          <cell r="D371">
            <v>36675</v>
          </cell>
          <cell r="E371">
            <v>5245.26</v>
          </cell>
          <cell r="F371">
            <v>1</v>
          </cell>
          <cell r="G371" t="str">
            <v xml:space="preserve">HP Vectra VEi7 DT C466-32M4.3G/S95      HPD8126A </v>
          </cell>
          <cell r="H371">
            <v>16955</v>
          </cell>
          <cell r="I371">
            <v>1</v>
          </cell>
          <cell r="J371">
            <v>16955</v>
          </cell>
        </row>
        <row r="372">
          <cell r="B372" t="str">
            <v>ООС-0104-000401</v>
          </cell>
          <cell r="C372" t="str">
            <v>Принтер HPLj4000</v>
          </cell>
          <cell r="D372">
            <v>37377</v>
          </cell>
          <cell r="E372">
            <v>0</v>
          </cell>
          <cell r="F372">
            <v>1</v>
          </cell>
          <cell r="G372" t="str">
            <v xml:space="preserve">Принтер Hewlett Packard LJ 4100 LPT </v>
          </cell>
          <cell r="H372">
            <v>27043</v>
          </cell>
          <cell r="I372">
            <v>1</v>
          </cell>
          <cell r="J372">
            <v>27043</v>
          </cell>
        </row>
        <row r="373">
          <cell r="B373" t="str">
            <v>ООС-0104-000581</v>
          </cell>
          <cell r="C373" t="str">
            <v>Монитор VSE70</v>
          </cell>
          <cell r="D373">
            <v>37377</v>
          </cell>
          <cell r="E373">
            <v>2575.7399999999998</v>
          </cell>
          <cell r="F373">
            <v>2</v>
          </cell>
          <cell r="G373" t="str">
            <v>17" ViewSonic E70F CRT, 0.25 мм, 70 кГц, 1024 x 768/ 85 Гц, TCO-99</v>
          </cell>
          <cell r="H373">
            <v>4069</v>
          </cell>
          <cell r="I373">
            <v>1</v>
          </cell>
          <cell r="J373">
            <v>8138</v>
          </cell>
        </row>
        <row r="374">
          <cell r="B374" t="str">
            <v>ООС-0104-000776</v>
          </cell>
          <cell r="C374" t="str">
            <v>сис. Блок VI410</v>
          </cell>
          <cell r="D374">
            <v>37681</v>
          </cell>
          <cell r="E374">
            <v>12253.65</v>
          </cell>
          <cell r="F374">
            <v>1</v>
          </cell>
          <cell r="G374" t="str">
            <v>Pentium 4/1600 MHz/256 Mb/20000 Mb/SVGA Hewlett-Packard HP Vectra VL410 DT P4-1.6GHz 256M20G CDLAN W98 (P5974A</v>
          </cell>
          <cell r="H374">
            <v>19894</v>
          </cell>
          <cell r="I374">
            <v>1</v>
          </cell>
          <cell r="J374">
            <v>19894</v>
          </cell>
        </row>
        <row r="375">
          <cell r="B375" t="str">
            <v>ООС-0104-000781</v>
          </cell>
          <cell r="C375" t="str">
            <v>Сис.блок+монит. VL400</v>
          </cell>
          <cell r="D375">
            <v>37681</v>
          </cell>
          <cell r="E375">
            <v>19331.580000000002</v>
          </cell>
          <cell r="F375">
            <v>1</v>
          </cell>
          <cell r="G375" t="str">
            <v xml:space="preserve">Celeron/900 MHz/64 Mb/20000 Mb/SVGA Hewlett-Packard ПК HP Vectra VL400, Cel 900MHz, 64MB PC133 SDRAM, 20GB, AGP и ViewSonic VP 140 TCO'99 </v>
          </cell>
          <cell r="H375">
            <v>17190</v>
          </cell>
          <cell r="I375">
            <v>1</v>
          </cell>
          <cell r="J375">
            <v>17190</v>
          </cell>
        </row>
        <row r="376">
          <cell r="B376" t="str">
            <v>ООС-0104-000854</v>
          </cell>
          <cell r="C376" t="str">
            <v>Ноутбук Satell 2805-S503</v>
          </cell>
          <cell r="D376">
            <v>37742</v>
          </cell>
          <cell r="E376">
            <v>29402.05</v>
          </cell>
          <cell r="F376">
            <v>1</v>
          </cell>
          <cell r="G376" t="str">
            <v>Ноутбук Toshiba Satellite 2805-S503</v>
          </cell>
          <cell r="H376">
            <v>60710</v>
          </cell>
          <cell r="I376">
            <v>1</v>
          </cell>
          <cell r="J376">
            <v>60710</v>
          </cell>
        </row>
        <row r="377">
          <cell r="B377" t="str">
            <v>ООС-0105-000087</v>
          </cell>
          <cell r="C377" t="str">
            <v xml:space="preserve">Стол рабочий </v>
          </cell>
          <cell r="D377">
            <v>36223</v>
          </cell>
          <cell r="E377">
            <v>0</v>
          </cell>
          <cell r="F377">
            <v>1</v>
          </cell>
          <cell r="G377" t="str">
            <v>Стол рабочий</v>
          </cell>
          <cell r="H377">
            <v>15756</v>
          </cell>
          <cell r="I377">
            <v>1</v>
          </cell>
          <cell r="J377">
            <v>15756</v>
          </cell>
        </row>
        <row r="378">
          <cell r="B378" t="str">
            <v>ООС-0104-001056</v>
          </cell>
          <cell r="C378" t="str">
            <v>Сис. Блок HPD230m</v>
          </cell>
          <cell r="D378">
            <v>38244</v>
          </cell>
          <cell r="E378">
            <v>10703.69</v>
          </cell>
          <cell r="F378">
            <v>1</v>
          </cell>
          <cell r="G378" t="str">
            <v xml:space="preserve">HP Compaq d230m P2.66GHz 256Mb 40Gb CD XPP </v>
          </cell>
          <cell r="H378">
            <v>19377</v>
          </cell>
          <cell r="I378">
            <v>1</v>
          </cell>
          <cell r="J378">
            <v>19377</v>
          </cell>
        </row>
        <row r="379">
          <cell r="B379" t="str">
            <v>ООС-0104-001062</v>
          </cell>
          <cell r="C379" t="str">
            <v>Сис. Блок HPD230m</v>
          </cell>
          <cell r="D379">
            <v>38244</v>
          </cell>
          <cell r="E379">
            <v>10703.69</v>
          </cell>
          <cell r="F379">
            <v>1</v>
          </cell>
          <cell r="G379" t="str">
            <v xml:space="preserve">HP Compaq d230m P2.66GHz 256Mb 40Gb CD XPP </v>
          </cell>
          <cell r="H379">
            <v>19377</v>
          </cell>
          <cell r="I379">
            <v>1</v>
          </cell>
          <cell r="J379">
            <v>19377</v>
          </cell>
        </row>
        <row r="380">
          <cell r="B380" t="str">
            <v>ООС-0104-001061</v>
          </cell>
          <cell r="C380" t="str">
            <v>Сис. Блок HPD230m</v>
          </cell>
          <cell r="D380">
            <v>38244</v>
          </cell>
          <cell r="E380">
            <v>10703.69</v>
          </cell>
          <cell r="F380">
            <v>1</v>
          </cell>
          <cell r="G380" t="str">
            <v xml:space="preserve">HP Compaq d230m P2.66GHz 256Mb 40Gb CD XPP </v>
          </cell>
          <cell r="H380">
            <v>19377</v>
          </cell>
          <cell r="I380">
            <v>1</v>
          </cell>
          <cell r="J380">
            <v>19377</v>
          </cell>
        </row>
        <row r="381">
          <cell r="B381" t="str">
            <v>ООС-0104-001060</v>
          </cell>
          <cell r="C381" t="str">
            <v>Сис. Блок HPD230m</v>
          </cell>
          <cell r="D381">
            <v>38244</v>
          </cell>
          <cell r="E381">
            <v>10703.69</v>
          </cell>
          <cell r="F381">
            <v>1</v>
          </cell>
          <cell r="G381" t="str">
            <v xml:space="preserve">HP Compaq d230m P2.66GHz 256Mb 40Gb CD XPP </v>
          </cell>
          <cell r="H381">
            <v>19377</v>
          </cell>
          <cell r="I381">
            <v>1</v>
          </cell>
          <cell r="J381">
            <v>19377</v>
          </cell>
        </row>
        <row r="382">
          <cell r="B382" t="str">
            <v>ООС-0104-000752</v>
          </cell>
          <cell r="C382" t="str">
            <v>Тепловая пушка</v>
          </cell>
          <cell r="D382">
            <v>37622</v>
          </cell>
          <cell r="E382">
            <v>0</v>
          </cell>
          <cell r="F382">
            <v>1</v>
          </cell>
          <cell r="G382" t="str">
            <v>ТРОПИК ЗЭТ-18-ДУ Высокопроизводительная завеса для вертикальной / горизонтальной установки</v>
          </cell>
          <cell r="H382">
            <v>25397</v>
          </cell>
          <cell r="I382">
            <v>1</v>
          </cell>
          <cell r="J382">
            <v>25397</v>
          </cell>
        </row>
        <row r="383">
          <cell r="B383" t="str">
            <v>ООС-0105-000377</v>
          </cell>
          <cell r="C383" t="str">
            <v>Карта мира</v>
          </cell>
          <cell r="D383">
            <v>37377</v>
          </cell>
          <cell r="E383">
            <v>0</v>
          </cell>
          <cell r="F383">
            <v>1</v>
          </cell>
          <cell r="G383" t="str">
            <v>Карта мира (1160 мм х 760 мм)</v>
          </cell>
          <cell r="H383">
            <v>25903</v>
          </cell>
          <cell r="I383">
            <v>1</v>
          </cell>
          <cell r="J383">
            <v>25903</v>
          </cell>
        </row>
        <row r="384">
          <cell r="B384" t="str">
            <v>ООС-0104-000389</v>
          </cell>
          <cell r="C384" t="str">
            <v>Монитор VeiG553</v>
          </cell>
          <cell r="D384">
            <v>37377</v>
          </cell>
          <cell r="E384">
            <v>0</v>
          </cell>
          <cell r="F384">
            <v>1</v>
          </cell>
          <cell r="G384" t="str">
            <v xml:space="preserve">Монитор 15'' ViewSonic E651 </v>
          </cell>
          <cell r="H384">
            <v>4021</v>
          </cell>
          <cell r="I384">
            <v>1</v>
          </cell>
          <cell r="J384">
            <v>4021</v>
          </cell>
        </row>
        <row r="385">
          <cell r="B385" t="str">
            <v>ООС-0104-000396</v>
          </cell>
          <cell r="C385" t="str">
            <v>Сис. Блок VEi8</v>
          </cell>
          <cell r="D385">
            <v>37377</v>
          </cell>
          <cell r="E385">
            <v>0</v>
          </cell>
          <cell r="F385">
            <v>1</v>
          </cell>
          <cell r="G385" t="str">
            <v xml:space="preserve">DT P450-64Mb/4.3Gb/MATROX G200 AGP 8mB/3Com Lan      HPD8172N </v>
          </cell>
          <cell r="H385">
            <v>24009</v>
          </cell>
          <cell r="I385">
            <v>1</v>
          </cell>
          <cell r="J385">
            <v>24009</v>
          </cell>
        </row>
        <row r="386">
          <cell r="B386" t="str">
            <v>ООС-0104-000458</v>
          </cell>
          <cell r="C386" t="str">
            <v>Тел Panasonic KT-ST15</v>
          </cell>
          <cell r="D386">
            <v>37165</v>
          </cell>
          <cell r="E386">
            <v>0</v>
          </cell>
          <cell r="F386">
            <v>1</v>
          </cell>
          <cell r="G386" t="str">
            <v xml:space="preserve">Телефон Panasonic KX-TCD512RU </v>
          </cell>
          <cell r="H386">
            <v>5096</v>
          </cell>
          <cell r="I386">
            <v>1</v>
          </cell>
          <cell r="J386">
            <v>5096</v>
          </cell>
        </row>
        <row r="387">
          <cell r="E387">
            <v>12045014.41</v>
          </cell>
          <cell r="J387">
            <v>13518395</v>
          </cell>
        </row>
      </sheetData>
      <sheetData sheetId="2">
        <row r="1">
          <cell r="B1" t="str">
            <v>Инвентарный номер</v>
          </cell>
          <cell r="C1" t="str">
            <v>Наименование</v>
          </cell>
          <cell r="D1" t="str">
            <v>Дата ввода в эксплуатацию</v>
          </cell>
          <cell r="E1" t="str">
            <v>Срок фактического использования, мес.</v>
          </cell>
          <cell r="F1" t="str">
            <v>Срок полезного использования, мес.</v>
          </cell>
          <cell r="G1" t="str">
            <v>Оставшийся срок полезного использования, мес.</v>
          </cell>
          <cell r="H1" t="str">
            <v>Физический износ (по результатам расчета), %</v>
          </cell>
          <cell r="I1" t="str">
            <v>Физический износ (указанный Заказчиком), %</v>
          </cell>
        </row>
        <row r="2">
          <cell r="B2" t="str">
            <v>ООС-0104-000004</v>
          </cell>
          <cell r="C2" t="str">
            <v>Кондиционер Toshiba</v>
          </cell>
          <cell r="D2">
            <v>35803</v>
          </cell>
          <cell r="E2">
            <v>84</v>
          </cell>
          <cell r="F2">
            <v>84</v>
          </cell>
          <cell r="G2">
            <v>0</v>
          </cell>
          <cell r="H2">
            <v>97</v>
          </cell>
          <cell r="I2">
            <v>100</v>
          </cell>
        </row>
        <row r="3">
          <cell r="B3" t="str">
            <v>ООС-0104-000005</v>
          </cell>
          <cell r="C3" t="str">
            <v>Люлька строительная</v>
          </cell>
          <cell r="D3">
            <v>35921</v>
          </cell>
          <cell r="E3">
            <v>80</v>
          </cell>
          <cell r="F3">
            <v>60</v>
          </cell>
          <cell r="G3">
            <v>0</v>
          </cell>
          <cell r="H3">
            <v>97</v>
          </cell>
          <cell r="I3">
            <v>100</v>
          </cell>
        </row>
        <row r="4">
          <cell r="B4" t="str">
            <v>ООС-0104-000006</v>
          </cell>
          <cell r="C4" t="str">
            <v>Кондиционер Hitachi 09</v>
          </cell>
          <cell r="D4">
            <v>36010</v>
          </cell>
          <cell r="E4">
            <v>77</v>
          </cell>
          <cell r="F4">
            <v>84</v>
          </cell>
          <cell r="G4">
            <v>7</v>
          </cell>
          <cell r="H4">
            <v>92</v>
          </cell>
          <cell r="I4">
            <v>100</v>
          </cell>
        </row>
        <row r="5">
          <cell r="B5" t="str">
            <v>ООС-0104-000007</v>
          </cell>
          <cell r="C5" t="str">
            <v>Кондиционер Hitachi 09</v>
          </cell>
          <cell r="D5">
            <v>36010</v>
          </cell>
          <cell r="E5">
            <v>77</v>
          </cell>
          <cell r="F5">
            <v>84</v>
          </cell>
          <cell r="G5">
            <v>7</v>
          </cell>
          <cell r="H5">
            <v>92</v>
          </cell>
          <cell r="I5">
            <v>100</v>
          </cell>
        </row>
        <row r="6">
          <cell r="B6" t="str">
            <v>ООС-0104-000008</v>
          </cell>
          <cell r="C6" t="str">
            <v>Кондиционер Hitachi 09</v>
          </cell>
          <cell r="D6">
            <v>36010</v>
          </cell>
          <cell r="E6">
            <v>77</v>
          </cell>
          <cell r="F6">
            <v>84</v>
          </cell>
          <cell r="G6">
            <v>7</v>
          </cell>
          <cell r="H6">
            <v>92</v>
          </cell>
          <cell r="I6">
            <v>100</v>
          </cell>
        </row>
        <row r="7">
          <cell r="B7" t="str">
            <v>ООС-0104-000009</v>
          </cell>
          <cell r="C7" t="str">
            <v>Кондиционер Hitashi 5142</v>
          </cell>
          <cell r="D7">
            <v>36010</v>
          </cell>
          <cell r="E7">
            <v>77</v>
          </cell>
          <cell r="F7">
            <v>84</v>
          </cell>
          <cell r="G7">
            <v>7</v>
          </cell>
          <cell r="H7">
            <v>92</v>
          </cell>
          <cell r="I7">
            <v>100</v>
          </cell>
        </row>
        <row r="8">
          <cell r="B8" t="str">
            <v>ООС-0104-000010</v>
          </cell>
          <cell r="C8" t="str">
            <v>Оборуд. Для пров. Конф.</v>
          </cell>
          <cell r="D8">
            <v>36013</v>
          </cell>
          <cell r="E8">
            <v>77</v>
          </cell>
          <cell r="F8">
            <v>84</v>
          </cell>
          <cell r="G8">
            <v>7</v>
          </cell>
          <cell r="H8">
            <v>92</v>
          </cell>
          <cell r="I8">
            <v>100</v>
          </cell>
        </row>
        <row r="9">
          <cell r="B9" t="str">
            <v>ООС-0104-000011</v>
          </cell>
          <cell r="C9" t="str">
            <v>Сис. Селек. Связи</v>
          </cell>
          <cell r="D9">
            <v>36013</v>
          </cell>
          <cell r="E9">
            <v>77</v>
          </cell>
          <cell r="F9">
            <v>84</v>
          </cell>
          <cell r="G9">
            <v>7</v>
          </cell>
          <cell r="H9">
            <v>92</v>
          </cell>
          <cell r="I9">
            <v>100</v>
          </cell>
        </row>
        <row r="10">
          <cell r="B10" t="str">
            <v>ООС-0104-000013</v>
          </cell>
          <cell r="C10" t="str">
            <v>Тепловая установка</v>
          </cell>
          <cell r="D10">
            <v>36101</v>
          </cell>
          <cell r="E10">
            <v>74</v>
          </cell>
          <cell r="F10">
            <v>84</v>
          </cell>
          <cell r="G10">
            <v>10</v>
          </cell>
          <cell r="H10">
            <v>88</v>
          </cell>
          <cell r="I10">
            <v>100</v>
          </cell>
        </row>
        <row r="11">
          <cell r="B11" t="str">
            <v>ООС-0104-000094</v>
          </cell>
          <cell r="C11" t="str">
            <v>Зарядное устройство</v>
          </cell>
          <cell r="D11">
            <v>36255</v>
          </cell>
          <cell r="E11">
            <v>69</v>
          </cell>
          <cell r="F11">
            <v>72</v>
          </cell>
          <cell r="G11">
            <v>3</v>
          </cell>
          <cell r="H11">
            <v>96</v>
          </cell>
          <cell r="I11">
            <v>100</v>
          </cell>
        </row>
        <row r="12">
          <cell r="B12" t="str">
            <v>ООС-0104-000095</v>
          </cell>
          <cell r="C12" t="str">
            <v>Зарядное устройство</v>
          </cell>
          <cell r="D12">
            <v>36255</v>
          </cell>
          <cell r="E12">
            <v>69</v>
          </cell>
          <cell r="F12">
            <v>72</v>
          </cell>
          <cell r="G12">
            <v>3</v>
          </cell>
          <cell r="H12">
            <v>96</v>
          </cell>
          <cell r="I12">
            <v>100</v>
          </cell>
        </row>
        <row r="13">
          <cell r="B13" t="str">
            <v>ООС-0104-000096</v>
          </cell>
          <cell r="C13" t="str">
            <v>Зарядное устройство</v>
          </cell>
          <cell r="D13">
            <v>36255</v>
          </cell>
          <cell r="E13">
            <v>69</v>
          </cell>
          <cell r="F13">
            <v>72</v>
          </cell>
          <cell r="G13">
            <v>3</v>
          </cell>
          <cell r="H13">
            <v>96</v>
          </cell>
          <cell r="I13">
            <v>100</v>
          </cell>
        </row>
        <row r="14">
          <cell r="B14" t="str">
            <v>ООС-0104-000097</v>
          </cell>
          <cell r="C14" t="str">
            <v>Зарядное устройство</v>
          </cell>
          <cell r="D14">
            <v>36255</v>
          </cell>
          <cell r="E14">
            <v>69</v>
          </cell>
          <cell r="F14">
            <v>72</v>
          </cell>
          <cell r="G14">
            <v>3</v>
          </cell>
          <cell r="H14">
            <v>96</v>
          </cell>
          <cell r="I14">
            <v>100</v>
          </cell>
        </row>
        <row r="15">
          <cell r="B15" t="str">
            <v>ООС-0104-000098</v>
          </cell>
          <cell r="C15" t="str">
            <v>Зарядное устройство</v>
          </cell>
          <cell r="D15">
            <v>36255</v>
          </cell>
          <cell r="E15">
            <v>69</v>
          </cell>
          <cell r="F15">
            <v>72</v>
          </cell>
          <cell r="G15">
            <v>3</v>
          </cell>
          <cell r="H15">
            <v>96</v>
          </cell>
          <cell r="I15">
            <v>100</v>
          </cell>
        </row>
        <row r="16">
          <cell r="B16" t="str">
            <v>ООС-0104-000106</v>
          </cell>
          <cell r="C16" t="str">
            <v>Принтер HPLj2100</v>
          </cell>
          <cell r="D16">
            <v>36374</v>
          </cell>
          <cell r="E16">
            <v>65</v>
          </cell>
          <cell r="F16">
            <v>60</v>
          </cell>
          <cell r="G16">
            <v>0</v>
          </cell>
          <cell r="H16">
            <v>97</v>
          </cell>
          <cell r="I16">
            <v>60</v>
          </cell>
        </row>
        <row r="17">
          <cell r="B17" t="str">
            <v>ООС-0104-000137</v>
          </cell>
          <cell r="C17" t="str">
            <v>Системный блок Vei8</v>
          </cell>
          <cell r="D17">
            <v>35885</v>
          </cell>
          <cell r="E17">
            <v>81</v>
          </cell>
          <cell r="F17">
            <v>60</v>
          </cell>
          <cell r="G17">
            <v>0</v>
          </cell>
          <cell r="H17">
            <v>97</v>
          </cell>
          <cell r="I17">
            <v>100</v>
          </cell>
        </row>
        <row r="18">
          <cell r="B18" t="str">
            <v>ООС-0104-000145</v>
          </cell>
          <cell r="C18" t="str">
            <v>Коппир. Апп. Ricon5832</v>
          </cell>
          <cell r="D18">
            <v>35937</v>
          </cell>
          <cell r="E18">
            <v>79</v>
          </cell>
          <cell r="F18">
            <v>60</v>
          </cell>
          <cell r="G18">
            <v>0</v>
          </cell>
          <cell r="H18">
            <v>97</v>
          </cell>
          <cell r="I18">
            <v>75</v>
          </cell>
        </row>
        <row r="19">
          <cell r="B19" t="str">
            <v>ООС-0104-000150</v>
          </cell>
          <cell r="C19" t="str">
            <v>Монитор VP140</v>
          </cell>
          <cell r="D19">
            <v>35957</v>
          </cell>
          <cell r="E19">
            <v>79</v>
          </cell>
          <cell r="F19">
            <v>60</v>
          </cell>
          <cell r="G19">
            <v>0</v>
          </cell>
          <cell r="H19">
            <v>97</v>
          </cell>
          <cell r="I19">
            <v>100</v>
          </cell>
        </row>
        <row r="20">
          <cell r="B20" t="str">
            <v>ООС-0104-000152</v>
          </cell>
          <cell r="C20" t="str">
            <v>Монитор HPD8897</v>
          </cell>
          <cell r="D20">
            <v>35969</v>
          </cell>
          <cell r="E20">
            <v>78</v>
          </cell>
          <cell r="F20">
            <v>60</v>
          </cell>
          <cell r="G20">
            <v>0</v>
          </cell>
          <cell r="H20">
            <v>97</v>
          </cell>
          <cell r="I20">
            <v>100</v>
          </cell>
        </row>
        <row r="21">
          <cell r="B21" t="str">
            <v>ООС-0104-000155</v>
          </cell>
          <cell r="C21" t="str">
            <v>Коппир. Апп.Xerox5437</v>
          </cell>
          <cell r="D21">
            <v>36000</v>
          </cell>
          <cell r="E21">
            <v>77</v>
          </cell>
          <cell r="F21">
            <v>60</v>
          </cell>
          <cell r="G21">
            <v>0</v>
          </cell>
          <cell r="H21">
            <v>97</v>
          </cell>
          <cell r="I21">
            <v>75</v>
          </cell>
        </row>
        <row r="22">
          <cell r="B22" t="str">
            <v>ООС-0104-000170</v>
          </cell>
          <cell r="C22" t="str">
            <v>Экран 274*366 спультом</v>
          </cell>
          <cell r="D22">
            <v>36566</v>
          </cell>
          <cell r="E22">
            <v>60</v>
          </cell>
          <cell r="F22">
            <v>60</v>
          </cell>
          <cell r="G22">
            <v>0</v>
          </cell>
          <cell r="H22">
            <v>97</v>
          </cell>
          <cell r="I22">
            <v>80</v>
          </cell>
        </row>
        <row r="23">
          <cell r="B23" t="str">
            <v>ООС-0104-000226</v>
          </cell>
          <cell r="C23" t="str">
            <v>Копп. Апп.Rex-rotaru8715Z</v>
          </cell>
          <cell r="D23">
            <v>36699</v>
          </cell>
          <cell r="E23">
            <v>54</v>
          </cell>
          <cell r="F23">
            <v>60</v>
          </cell>
          <cell r="G23">
            <v>6</v>
          </cell>
          <cell r="H23">
            <v>90</v>
          </cell>
          <cell r="I23">
            <v>75</v>
          </cell>
        </row>
        <row r="24">
          <cell r="B24" t="str">
            <v>ООС-0104-000460</v>
          </cell>
          <cell r="C24" t="str">
            <v>Panasonic KT-ST15</v>
          </cell>
          <cell r="D24">
            <v>37165</v>
          </cell>
          <cell r="E24">
            <v>39</v>
          </cell>
          <cell r="F24">
            <v>60</v>
          </cell>
          <cell r="G24">
            <v>21</v>
          </cell>
          <cell r="H24">
            <v>65</v>
          </cell>
          <cell r="I24">
            <v>100</v>
          </cell>
        </row>
        <row r="25">
          <cell r="B25" t="str">
            <v>ООС-0104-000461</v>
          </cell>
          <cell r="C25" t="str">
            <v>Panasonic KT-ST15</v>
          </cell>
          <cell r="D25">
            <v>37165</v>
          </cell>
          <cell r="E25">
            <v>39</v>
          </cell>
          <cell r="F25">
            <v>60</v>
          </cell>
          <cell r="G25">
            <v>21</v>
          </cell>
          <cell r="H25">
            <v>65</v>
          </cell>
          <cell r="I25">
            <v>100</v>
          </cell>
        </row>
        <row r="26">
          <cell r="B26" t="str">
            <v>ООС-0104-000547</v>
          </cell>
          <cell r="C26" t="str">
            <v>Факс Xerox 7041</v>
          </cell>
          <cell r="D26">
            <v>37316</v>
          </cell>
          <cell r="E26">
            <v>34</v>
          </cell>
          <cell r="F26">
            <v>60</v>
          </cell>
          <cell r="G26">
            <v>26</v>
          </cell>
          <cell r="H26">
            <v>57</v>
          </cell>
          <cell r="I26">
            <v>100</v>
          </cell>
        </row>
        <row r="27">
          <cell r="B27" t="str">
            <v>ООС-0104-000558</v>
          </cell>
          <cell r="C27" t="str">
            <v>Факс MB8145</v>
          </cell>
          <cell r="D27">
            <v>37316</v>
          </cell>
          <cell r="E27">
            <v>34</v>
          </cell>
          <cell r="F27">
            <v>60</v>
          </cell>
          <cell r="G27">
            <v>26</v>
          </cell>
          <cell r="H27">
            <v>57</v>
          </cell>
          <cell r="I27">
            <v>75</v>
          </cell>
        </row>
        <row r="28">
          <cell r="B28" t="str">
            <v>ООС-0104-000559</v>
          </cell>
          <cell r="C28" t="str">
            <v>Ноутбук Satellite2805-S301</v>
          </cell>
          <cell r="D28">
            <v>37316</v>
          </cell>
          <cell r="E28">
            <v>34</v>
          </cell>
          <cell r="F28">
            <v>60</v>
          </cell>
          <cell r="G28">
            <v>26</v>
          </cell>
          <cell r="H28">
            <v>57</v>
          </cell>
          <cell r="I28">
            <v>50</v>
          </cell>
        </row>
        <row r="29">
          <cell r="B29" t="str">
            <v>ООС-0104-000560</v>
          </cell>
          <cell r="C29" t="str">
            <v>Ноутбук Satellite2100СDT</v>
          </cell>
          <cell r="D29">
            <v>37316</v>
          </cell>
          <cell r="E29">
            <v>34</v>
          </cell>
          <cell r="F29">
            <v>60</v>
          </cell>
          <cell r="G29">
            <v>26</v>
          </cell>
          <cell r="H29">
            <v>57</v>
          </cell>
          <cell r="I29">
            <v>50</v>
          </cell>
        </row>
        <row r="30">
          <cell r="B30" t="str">
            <v>ООС-0104-000563</v>
          </cell>
          <cell r="C30" t="str">
            <v>Сис. Блок VL420</v>
          </cell>
          <cell r="D30">
            <v>37316</v>
          </cell>
          <cell r="E30">
            <v>34</v>
          </cell>
          <cell r="F30">
            <v>60</v>
          </cell>
          <cell r="G30">
            <v>26</v>
          </cell>
          <cell r="H30">
            <v>57</v>
          </cell>
          <cell r="I30">
            <v>90</v>
          </cell>
        </row>
        <row r="31">
          <cell r="B31" t="str">
            <v>ООС-0104-000571</v>
          </cell>
          <cell r="C31" t="str">
            <v>Телекоммуникац. Оборуд.</v>
          </cell>
          <cell r="D31">
            <v>37316</v>
          </cell>
          <cell r="E31">
            <v>34</v>
          </cell>
          <cell r="F31">
            <v>120</v>
          </cell>
          <cell r="G31">
            <v>86</v>
          </cell>
          <cell r="H31">
            <v>28</v>
          </cell>
          <cell r="I31">
            <v>50</v>
          </cell>
        </row>
        <row r="32">
          <cell r="B32" t="str">
            <v>ООС-0104-000656</v>
          </cell>
          <cell r="C32" t="str">
            <v>Принтер HP Laser1100</v>
          </cell>
          <cell r="D32">
            <v>37622</v>
          </cell>
          <cell r="E32">
            <v>24</v>
          </cell>
          <cell r="F32">
            <v>60</v>
          </cell>
          <cell r="G32">
            <v>36</v>
          </cell>
          <cell r="H32">
            <v>40</v>
          </cell>
          <cell r="I32">
            <v>60</v>
          </cell>
        </row>
        <row r="33">
          <cell r="B33" t="str">
            <v>ООС-0104-000658</v>
          </cell>
          <cell r="C33" t="str">
            <v>Сис. Блок Brio</v>
          </cell>
          <cell r="D33">
            <v>37622</v>
          </cell>
          <cell r="E33">
            <v>24</v>
          </cell>
          <cell r="F33">
            <v>60</v>
          </cell>
          <cell r="G33">
            <v>36</v>
          </cell>
          <cell r="H33">
            <v>40</v>
          </cell>
          <cell r="I33">
            <v>60</v>
          </cell>
        </row>
        <row r="34">
          <cell r="B34" t="str">
            <v>ООС-0104-000659</v>
          </cell>
          <cell r="C34" t="str">
            <v>Сис. Блок Brio</v>
          </cell>
          <cell r="D34">
            <v>37622</v>
          </cell>
          <cell r="E34">
            <v>24</v>
          </cell>
          <cell r="F34">
            <v>60</v>
          </cell>
          <cell r="G34">
            <v>36</v>
          </cell>
          <cell r="H34">
            <v>40</v>
          </cell>
          <cell r="I34">
            <v>60</v>
          </cell>
        </row>
        <row r="35">
          <cell r="B35" t="str">
            <v>ООС-0104-000660</v>
          </cell>
          <cell r="C35" t="str">
            <v>Сис. Блок Brio</v>
          </cell>
          <cell r="D35">
            <v>37622</v>
          </cell>
          <cell r="E35">
            <v>24</v>
          </cell>
          <cell r="F35">
            <v>60</v>
          </cell>
          <cell r="G35">
            <v>36</v>
          </cell>
          <cell r="H35">
            <v>40</v>
          </cell>
          <cell r="I35">
            <v>60</v>
          </cell>
        </row>
        <row r="36">
          <cell r="B36" t="str">
            <v>ООС-0104-000661</v>
          </cell>
          <cell r="C36" t="str">
            <v>Сис. Блок Brio</v>
          </cell>
          <cell r="D36">
            <v>37622</v>
          </cell>
          <cell r="E36">
            <v>24</v>
          </cell>
          <cell r="F36">
            <v>60</v>
          </cell>
          <cell r="G36">
            <v>36</v>
          </cell>
          <cell r="H36">
            <v>40</v>
          </cell>
          <cell r="I36">
            <v>60</v>
          </cell>
        </row>
        <row r="37">
          <cell r="B37" t="str">
            <v>ООС-0104-000662</v>
          </cell>
          <cell r="C37" t="str">
            <v>Кондиционер Samsung</v>
          </cell>
          <cell r="D37">
            <v>37622</v>
          </cell>
          <cell r="E37">
            <v>24</v>
          </cell>
          <cell r="F37">
            <v>84</v>
          </cell>
          <cell r="G37">
            <v>60</v>
          </cell>
          <cell r="H37">
            <v>29</v>
          </cell>
          <cell r="I37">
            <v>20</v>
          </cell>
        </row>
        <row r="38">
          <cell r="B38" t="str">
            <v>ООС-0104-000663</v>
          </cell>
          <cell r="C38" t="str">
            <v>Кондиционер Samsung</v>
          </cell>
          <cell r="D38">
            <v>37622</v>
          </cell>
          <cell r="E38">
            <v>24</v>
          </cell>
          <cell r="F38">
            <v>84</v>
          </cell>
          <cell r="G38">
            <v>60</v>
          </cell>
          <cell r="H38">
            <v>29</v>
          </cell>
          <cell r="I38">
            <v>20</v>
          </cell>
        </row>
        <row r="39">
          <cell r="B39" t="str">
            <v>ООС-0104-000664</v>
          </cell>
          <cell r="C39" t="str">
            <v>Кондиционер Samsung</v>
          </cell>
          <cell r="D39">
            <v>37622</v>
          </cell>
          <cell r="E39">
            <v>24</v>
          </cell>
          <cell r="F39">
            <v>84</v>
          </cell>
          <cell r="G39">
            <v>60</v>
          </cell>
          <cell r="H39">
            <v>29</v>
          </cell>
          <cell r="I39">
            <v>20</v>
          </cell>
        </row>
        <row r="40">
          <cell r="B40" t="str">
            <v>ООС-0104-000665</v>
          </cell>
          <cell r="C40" t="str">
            <v>Кондиционер Samsung</v>
          </cell>
          <cell r="D40">
            <v>37622</v>
          </cell>
          <cell r="E40">
            <v>24</v>
          </cell>
          <cell r="F40">
            <v>84</v>
          </cell>
          <cell r="G40">
            <v>60</v>
          </cell>
          <cell r="H40">
            <v>29</v>
          </cell>
          <cell r="I40">
            <v>20</v>
          </cell>
        </row>
        <row r="41">
          <cell r="B41" t="str">
            <v>ООС-0104-000666</v>
          </cell>
          <cell r="C41" t="str">
            <v>Кондиционер PX 800RC</v>
          </cell>
          <cell r="D41">
            <v>37622</v>
          </cell>
          <cell r="E41">
            <v>24</v>
          </cell>
          <cell r="F41">
            <v>84</v>
          </cell>
          <cell r="G41">
            <v>60</v>
          </cell>
          <cell r="H41">
            <v>29</v>
          </cell>
          <cell r="I41">
            <v>20</v>
          </cell>
        </row>
        <row r="42">
          <cell r="B42" t="str">
            <v>ООС-0104-000680</v>
          </cell>
          <cell r="C42" t="str">
            <v>Копп. Апп. MB5651</v>
          </cell>
          <cell r="D42">
            <v>37681</v>
          </cell>
          <cell r="E42">
            <v>22</v>
          </cell>
          <cell r="F42">
            <v>60</v>
          </cell>
          <cell r="G42">
            <v>38</v>
          </cell>
          <cell r="H42">
            <v>37</v>
          </cell>
          <cell r="I42">
            <v>75</v>
          </cell>
        </row>
        <row r="43">
          <cell r="B43" t="str">
            <v>ООС-0104-000687</v>
          </cell>
          <cell r="C43" t="str">
            <v>Сис. Блок HP Ve5</v>
          </cell>
          <cell r="D43">
            <v>37622</v>
          </cell>
          <cell r="E43">
            <v>24</v>
          </cell>
          <cell r="F43">
            <v>60</v>
          </cell>
          <cell r="G43">
            <v>36</v>
          </cell>
          <cell r="H43">
            <v>40</v>
          </cell>
          <cell r="I43">
            <v>100</v>
          </cell>
        </row>
        <row r="44">
          <cell r="B44" t="str">
            <v>ООС-0104-000688</v>
          </cell>
          <cell r="C44" t="str">
            <v>Сис. Блок HP Ve5D5602</v>
          </cell>
          <cell r="D44">
            <v>37622</v>
          </cell>
          <cell r="E44">
            <v>24</v>
          </cell>
          <cell r="F44">
            <v>60</v>
          </cell>
          <cell r="G44">
            <v>36</v>
          </cell>
          <cell r="H44">
            <v>40</v>
          </cell>
          <cell r="I44">
            <v>100</v>
          </cell>
        </row>
        <row r="45">
          <cell r="B45" t="str">
            <v>ООС-0104-000689</v>
          </cell>
          <cell r="C45" t="str">
            <v>Сис. Блок HP Vei8</v>
          </cell>
          <cell r="D45">
            <v>37622</v>
          </cell>
          <cell r="E45">
            <v>24</v>
          </cell>
          <cell r="F45">
            <v>60</v>
          </cell>
          <cell r="G45">
            <v>36</v>
          </cell>
          <cell r="H45">
            <v>40</v>
          </cell>
          <cell r="I45">
            <v>100</v>
          </cell>
        </row>
        <row r="46">
          <cell r="B46" t="str">
            <v>ООС-0104-000690</v>
          </cell>
          <cell r="C46" t="str">
            <v>Сис. Блок HP Vei8</v>
          </cell>
          <cell r="D46">
            <v>37622</v>
          </cell>
          <cell r="E46">
            <v>24</v>
          </cell>
          <cell r="F46">
            <v>60</v>
          </cell>
          <cell r="G46">
            <v>36</v>
          </cell>
          <cell r="H46">
            <v>40</v>
          </cell>
          <cell r="I46">
            <v>100</v>
          </cell>
        </row>
        <row r="47">
          <cell r="B47" t="str">
            <v>ООС-0104-000691</v>
          </cell>
          <cell r="C47" t="str">
            <v>Сканер HP4300</v>
          </cell>
          <cell r="D47">
            <v>37622</v>
          </cell>
          <cell r="E47">
            <v>24</v>
          </cell>
          <cell r="F47">
            <v>60</v>
          </cell>
          <cell r="G47">
            <v>36</v>
          </cell>
          <cell r="H47">
            <v>40</v>
          </cell>
          <cell r="I47">
            <v>100</v>
          </cell>
        </row>
        <row r="48">
          <cell r="B48" t="str">
            <v>ООС-0104-000692</v>
          </cell>
          <cell r="C48" t="str">
            <v>Сис. Блок с монит. HPLC3</v>
          </cell>
          <cell r="D48">
            <v>37622</v>
          </cell>
          <cell r="E48">
            <v>24</v>
          </cell>
          <cell r="F48">
            <v>60</v>
          </cell>
          <cell r="G48">
            <v>36</v>
          </cell>
          <cell r="H48">
            <v>40</v>
          </cell>
          <cell r="I48">
            <v>75</v>
          </cell>
        </row>
        <row r="49">
          <cell r="B49" t="str">
            <v>ООС-0104-000693</v>
          </cell>
          <cell r="C49" t="str">
            <v>Модем HPVL400</v>
          </cell>
          <cell r="D49">
            <v>37622</v>
          </cell>
          <cell r="E49">
            <v>24</v>
          </cell>
          <cell r="F49">
            <v>60</v>
          </cell>
          <cell r="G49">
            <v>36</v>
          </cell>
          <cell r="H49">
            <v>40</v>
          </cell>
          <cell r="I49">
            <v>75</v>
          </cell>
        </row>
        <row r="50">
          <cell r="B50" t="str">
            <v>ООС-0104-000695</v>
          </cell>
          <cell r="C50" t="str">
            <v>Сис. Блок VL410</v>
          </cell>
          <cell r="D50">
            <v>37622</v>
          </cell>
          <cell r="E50">
            <v>24</v>
          </cell>
          <cell r="F50">
            <v>60</v>
          </cell>
          <cell r="G50">
            <v>36</v>
          </cell>
          <cell r="H50">
            <v>40</v>
          </cell>
          <cell r="I50">
            <v>75</v>
          </cell>
        </row>
        <row r="51">
          <cell r="B51" t="str">
            <v>ООС-0104-000696</v>
          </cell>
          <cell r="C51" t="str">
            <v>Сис. Блок VL410</v>
          </cell>
          <cell r="D51">
            <v>37622</v>
          </cell>
          <cell r="E51">
            <v>24</v>
          </cell>
          <cell r="F51">
            <v>60</v>
          </cell>
          <cell r="G51">
            <v>36</v>
          </cell>
          <cell r="H51">
            <v>40</v>
          </cell>
          <cell r="I51">
            <v>75</v>
          </cell>
        </row>
        <row r="52">
          <cell r="B52" t="str">
            <v>ООС-0104-000700</v>
          </cell>
          <cell r="C52" t="str">
            <v>Сервер HP Lc3</v>
          </cell>
          <cell r="D52">
            <v>37681</v>
          </cell>
          <cell r="E52">
            <v>22</v>
          </cell>
          <cell r="F52">
            <v>60</v>
          </cell>
          <cell r="G52">
            <v>38</v>
          </cell>
          <cell r="H52">
            <v>37</v>
          </cell>
          <cell r="I52">
            <v>75</v>
          </cell>
        </row>
        <row r="53">
          <cell r="B53" t="str">
            <v>ООС-0104-000717</v>
          </cell>
          <cell r="C53" t="str">
            <v>Мобил. Тел. EricssonT68</v>
          </cell>
          <cell r="D53">
            <v>37622</v>
          </cell>
          <cell r="E53">
            <v>24</v>
          </cell>
          <cell r="F53">
            <v>48</v>
          </cell>
          <cell r="G53">
            <v>24</v>
          </cell>
          <cell r="H53">
            <v>50</v>
          </cell>
          <cell r="I53">
            <v>100</v>
          </cell>
        </row>
        <row r="54">
          <cell r="B54" t="str">
            <v>ООС-0104-000723</v>
          </cell>
          <cell r="C54" t="str">
            <v>Мон.+сис. Блок HPD8897</v>
          </cell>
          <cell r="D54">
            <v>37622</v>
          </cell>
          <cell r="E54">
            <v>24</v>
          </cell>
          <cell r="F54">
            <v>60</v>
          </cell>
          <cell r="G54">
            <v>36</v>
          </cell>
          <cell r="H54">
            <v>40</v>
          </cell>
          <cell r="I54">
            <v>75</v>
          </cell>
        </row>
        <row r="55">
          <cell r="B55" t="str">
            <v>ООС-0104-000727</v>
          </cell>
          <cell r="C55" t="str">
            <v>Факс MB9410</v>
          </cell>
          <cell r="D55">
            <v>37622</v>
          </cell>
          <cell r="E55">
            <v>24</v>
          </cell>
          <cell r="F55">
            <v>60</v>
          </cell>
          <cell r="G55">
            <v>36</v>
          </cell>
          <cell r="H55">
            <v>40</v>
          </cell>
          <cell r="I55">
            <v>75</v>
          </cell>
        </row>
        <row r="56">
          <cell r="B56" t="str">
            <v>ООС-0104-000737</v>
          </cell>
          <cell r="C56" t="str">
            <v>Компьютер 1 Щулькина</v>
          </cell>
          <cell r="D56">
            <v>37622</v>
          </cell>
          <cell r="E56">
            <v>24</v>
          </cell>
          <cell r="F56">
            <v>60</v>
          </cell>
          <cell r="G56">
            <v>36</v>
          </cell>
          <cell r="H56">
            <v>40</v>
          </cell>
          <cell r="I56">
            <v>75</v>
          </cell>
        </row>
        <row r="57">
          <cell r="B57" t="str">
            <v>ООС-0104-000738</v>
          </cell>
          <cell r="C57" t="str">
            <v>Компьютер 2 Черная</v>
          </cell>
          <cell r="D57">
            <v>37622</v>
          </cell>
          <cell r="E57">
            <v>24</v>
          </cell>
          <cell r="F57">
            <v>60</v>
          </cell>
          <cell r="G57">
            <v>36</v>
          </cell>
          <cell r="H57">
            <v>40</v>
          </cell>
          <cell r="I57">
            <v>75</v>
          </cell>
        </row>
        <row r="58">
          <cell r="B58" t="str">
            <v>ООС-0104-000739</v>
          </cell>
          <cell r="C58" t="str">
            <v>Компьютер 3 Попеску</v>
          </cell>
          <cell r="D58">
            <v>37622</v>
          </cell>
          <cell r="E58">
            <v>24</v>
          </cell>
          <cell r="F58">
            <v>60</v>
          </cell>
          <cell r="G58">
            <v>36</v>
          </cell>
          <cell r="H58">
            <v>40</v>
          </cell>
          <cell r="I58">
            <v>75</v>
          </cell>
        </row>
        <row r="59">
          <cell r="B59" t="str">
            <v>ООС-0104-000740</v>
          </cell>
          <cell r="C59" t="str">
            <v>АТС ,Орская,25</v>
          </cell>
          <cell r="D59">
            <v>37622</v>
          </cell>
          <cell r="E59">
            <v>24</v>
          </cell>
          <cell r="F59">
            <v>60</v>
          </cell>
          <cell r="G59">
            <v>36</v>
          </cell>
          <cell r="H59">
            <v>40</v>
          </cell>
          <cell r="I59">
            <v>75</v>
          </cell>
        </row>
        <row r="60">
          <cell r="B60" t="str">
            <v>ООС-0104-000742</v>
          </cell>
          <cell r="C60" t="str">
            <v>Копп. Апп.Ricon FT5832</v>
          </cell>
          <cell r="D60">
            <v>37622</v>
          </cell>
          <cell r="E60">
            <v>24</v>
          </cell>
          <cell r="F60">
            <v>60</v>
          </cell>
          <cell r="G60">
            <v>36</v>
          </cell>
          <cell r="H60">
            <v>40</v>
          </cell>
          <cell r="I60">
            <v>75</v>
          </cell>
        </row>
        <row r="61">
          <cell r="B61" t="str">
            <v>ООС-0104-000746</v>
          </cell>
          <cell r="C61" t="str">
            <v>Сис. Блок HP-7</v>
          </cell>
          <cell r="D61">
            <v>37622</v>
          </cell>
          <cell r="E61">
            <v>24</v>
          </cell>
          <cell r="F61">
            <v>60</v>
          </cell>
          <cell r="G61">
            <v>36</v>
          </cell>
          <cell r="H61">
            <v>40</v>
          </cell>
          <cell r="I61">
            <v>75</v>
          </cell>
        </row>
        <row r="62">
          <cell r="B62" t="str">
            <v>ООС-0104-000747</v>
          </cell>
          <cell r="C62" t="str">
            <v>Сервер HP E800</v>
          </cell>
          <cell r="D62">
            <v>37622</v>
          </cell>
          <cell r="E62">
            <v>24</v>
          </cell>
          <cell r="F62">
            <v>60</v>
          </cell>
          <cell r="G62">
            <v>36</v>
          </cell>
          <cell r="H62">
            <v>40</v>
          </cell>
          <cell r="I62">
            <v>75</v>
          </cell>
        </row>
        <row r="63">
          <cell r="B63" t="str">
            <v>ООС-0104-000751</v>
          </cell>
          <cell r="C63" t="str">
            <v>Принтер MB206</v>
          </cell>
          <cell r="D63">
            <v>37622</v>
          </cell>
          <cell r="E63">
            <v>24</v>
          </cell>
          <cell r="F63">
            <v>60</v>
          </cell>
          <cell r="G63">
            <v>36</v>
          </cell>
          <cell r="H63">
            <v>40</v>
          </cell>
          <cell r="I63">
            <v>75</v>
          </cell>
        </row>
        <row r="64">
          <cell r="B64" t="str">
            <v>ООС-0104-000753</v>
          </cell>
          <cell r="C64" t="str">
            <v>Копп. Апп. MB5615</v>
          </cell>
          <cell r="D64">
            <v>37622</v>
          </cell>
          <cell r="E64">
            <v>24</v>
          </cell>
          <cell r="F64">
            <v>60</v>
          </cell>
          <cell r="G64">
            <v>36</v>
          </cell>
          <cell r="H64">
            <v>40</v>
          </cell>
          <cell r="I64">
            <v>75</v>
          </cell>
        </row>
        <row r="65">
          <cell r="B65" t="str">
            <v>ООС-0104-000754</v>
          </cell>
          <cell r="C65" t="str">
            <v>Монитор VS E651</v>
          </cell>
          <cell r="D65">
            <v>37622</v>
          </cell>
          <cell r="E65">
            <v>24</v>
          </cell>
          <cell r="F65">
            <v>60</v>
          </cell>
          <cell r="G65">
            <v>36</v>
          </cell>
          <cell r="H65">
            <v>40</v>
          </cell>
          <cell r="I65">
            <v>75</v>
          </cell>
        </row>
        <row r="66">
          <cell r="B66" t="str">
            <v>ООС-0104-000757</v>
          </cell>
          <cell r="C66" t="str">
            <v>Принтер HP LJ1100</v>
          </cell>
          <cell r="D66">
            <v>37622</v>
          </cell>
          <cell r="E66">
            <v>24</v>
          </cell>
          <cell r="F66">
            <v>60</v>
          </cell>
          <cell r="G66">
            <v>36</v>
          </cell>
          <cell r="H66">
            <v>40</v>
          </cell>
          <cell r="I66">
            <v>75</v>
          </cell>
        </row>
        <row r="67">
          <cell r="B67" t="str">
            <v xml:space="preserve">ООС-0104-000758 </v>
          </cell>
          <cell r="C67" t="str">
            <v>Принтер HP LaserJet4050</v>
          </cell>
          <cell r="D67">
            <v>37622</v>
          </cell>
          <cell r="E67">
            <v>24</v>
          </cell>
          <cell r="F67">
            <v>60</v>
          </cell>
          <cell r="G67">
            <v>36</v>
          </cell>
          <cell r="H67">
            <v>40</v>
          </cell>
          <cell r="I67">
            <v>75</v>
          </cell>
        </row>
        <row r="68">
          <cell r="B68" t="str">
            <v>ООС-0104-000780</v>
          </cell>
          <cell r="C68" t="str">
            <v>Антенна (южный)</v>
          </cell>
          <cell r="D68">
            <v>37681</v>
          </cell>
          <cell r="E68">
            <v>22</v>
          </cell>
          <cell r="F68">
            <v>36</v>
          </cell>
          <cell r="G68">
            <v>14</v>
          </cell>
          <cell r="H68">
            <v>61</v>
          </cell>
          <cell r="I68">
            <v>75</v>
          </cell>
        </row>
        <row r="69">
          <cell r="B69" t="str">
            <v>ООС-0104-000783</v>
          </cell>
          <cell r="C69" t="str">
            <v>Сервер  HP LH Pro</v>
          </cell>
          <cell r="D69">
            <v>37681</v>
          </cell>
          <cell r="E69">
            <v>22</v>
          </cell>
          <cell r="F69">
            <v>60</v>
          </cell>
          <cell r="G69">
            <v>38</v>
          </cell>
          <cell r="H69">
            <v>37</v>
          </cell>
          <cell r="I69">
            <v>75</v>
          </cell>
        </row>
        <row r="70">
          <cell r="B70" t="str">
            <v>ООС-0104-000785</v>
          </cell>
          <cell r="C70" t="str">
            <v>Сервер HP E800</v>
          </cell>
          <cell r="D70">
            <v>37681</v>
          </cell>
          <cell r="E70">
            <v>22</v>
          </cell>
          <cell r="F70">
            <v>60</v>
          </cell>
          <cell r="G70">
            <v>38</v>
          </cell>
          <cell r="H70">
            <v>37</v>
          </cell>
          <cell r="I70">
            <v>75</v>
          </cell>
        </row>
        <row r="71">
          <cell r="B71" t="str">
            <v>ООС-0104-000837</v>
          </cell>
          <cell r="C71" t="str">
            <v>Принтер HPLJ2100</v>
          </cell>
          <cell r="D71">
            <v>37742</v>
          </cell>
          <cell r="E71">
            <v>20</v>
          </cell>
          <cell r="F71">
            <v>60</v>
          </cell>
          <cell r="G71">
            <v>40</v>
          </cell>
          <cell r="H71">
            <v>33</v>
          </cell>
          <cell r="I71">
            <v>60</v>
          </cell>
        </row>
        <row r="72">
          <cell r="B72" t="str">
            <v>ООС-0104-000844</v>
          </cell>
          <cell r="C72" t="str">
            <v>Ноутбук Satellite2100СDT</v>
          </cell>
          <cell r="D72">
            <v>37742</v>
          </cell>
          <cell r="E72">
            <v>20</v>
          </cell>
          <cell r="F72">
            <v>60</v>
          </cell>
          <cell r="G72">
            <v>40</v>
          </cell>
          <cell r="H72">
            <v>33</v>
          </cell>
          <cell r="I72">
            <v>75</v>
          </cell>
        </row>
        <row r="73">
          <cell r="B73" t="str">
            <v>ООС-0104-000846</v>
          </cell>
          <cell r="C73" t="str">
            <v>Сис. Блок Vei7</v>
          </cell>
          <cell r="D73">
            <v>37742</v>
          </cell>
          <cell r="E73">
            <v>20</v>
          </cell>
          <cell r="F73">
            <v>60</v>
          </cell>
          <cell r="G73">
            <v>40</v>
          </cell>
          <cell r="H73">
            <v>33</v>
          </cell>
          <cell r="I73">
            <v>100</v>
          </cell>
        </row>
        <row r="74">
          <cell r="B74" t="str">
            <v>ООС-0104-000864</v>
          </cell>
          <cell r="C74" t="str">
            <v>Ноутбук Sat.5205-S505</v>
          </cell>
          <cell r="D74">
            <v>37811</v>
          </cell>
          <cell r="E74">
            <v>18</v>
          </cell>
          <cell r="F74">
            <v>60</v>
          </cell>
          <cell r="G74">
            <v>42</v>
          </cell>
          <cell r="H74">
            <v>30</v>
          </cell>
          <cell r="I74">
            <v>30</v>
          </cell>
        </row>
        <row r="75">
          <cell r="B75" t="str">
            <v>ООС-0104-000933</v>
          </cell>
          <cell r="C75" t="str">
            <v>Ноутбук Sat.5205-S705</v>
          </cell>
          <cell r="D75">
            <v>37935</v>
          </cell>
          <cell r="E75">
            <v>14</v>
          </cell>
          <cell r="F75">
            <v>60</v>
          </cell>
          <cell r="G75">
            <v>46</v>
          </cell>
          <cell r="H75">
            <v>23</v>
          </cell>
          <cell r="I75">
            <v>30</v>
          </cell>
        </row>
        <row r="76">
          <cell r="B76" t="str">
            <v>ООС-0104-000983</v>
          </cell>
          <cell r="C76" t="str">
            <v xml:space="preserve">Компьютерная сеть </v>
          </cell>
          <cell r="D76">
            <v>38077</v>
          </cell>
          <cell r="E76">
            <v>9</v>
          </cell>
          <cell r="F76">
            <v>60</v>
          </cell>
          <cell r="G76">
            <v>51</v>
          </cell>
          <cell r="H76">
            <v>15</v>
          </cell>
        </row>
        <row r="77">
          <cell r="B77" t="str">
            <v>ООС-0104-000987</v>
          </cell>
          <cell r="C77" t="str">
            <v>Система ПС</v>
          </cell>
          <cell r="D77">
            <v>38077</v>
          </cell>
          <cell r="E77">
            <v>9</v>
          </cell>
          <cell r="F77">
            <v>84</v>
          </cell>
          <cell r="G77">
            <v>75</v>
          </cell>
          <cell r="H77">
            <v>11</v>
          </cell>
          <cell r="I77">
            <v>100</v>
          </cell>
        </row>
        <row r="78">
          <cell r="B78" t="str">
            <v>ООС-0104-000988</v>
          </cell>
          <cell r="C78" t="str">
            <v>Система теленаблюдения</v>
          </cell>
          <cell r="D78">
            <v>38077</v>
          </cell>
          <cell r="E78">
            <v>9</v>
          </cell>
          <cell r="F78">
            <v>84</v>
          </cell>
          <cell r="G78">
            <v>75</v>
          </cell>
          <cell r="H78">
            <v>11</v>
          </cell>
          <cell r="I78">
            <v>100</v>
          </cell>
        </row>
        <row r="79">
          <cell r="B79" t="str">
            <v>ООС-0104-000989</v>
          </cell>
          <cell r="C79" t="str">
            <v>Система П (склады)</v>
          </cell>
          <cell r="D79">
            <v>38077</v>
          </cell>
          <cell r="E79">
            <v>9</v>
          </cell>
          <cell r="F79">
            <v>84</v>
          </cell>
          <cell r="G79">
            <v>75</v>
          </cell>
          <cell r="H79">
            <v>11</v>
          </cell>
          <cell r="I79">
            <v>100</v>
          </cell>
        </row>
        <row r="80">
          <cell r="B80" t="str">
            <v>ООС-0104-000990</v>
          </cell>
          <cell r="C80" t="str">
            <v xml:space="preserve">телефонный кабель </v>
          </cell>
          <cell r="D80">
            <v>38077</v>
          </cell>
          <cell r="E80" t="str">
            <v>Расходный материал</v>
          </cell>
        </row>
        <row r="81">
          <cell r="B81" t="str">
            <v>ООС-0104-000991</v>
          </cell>
          <cell r="C81" t="str">
            <v>Выделенный  канал связи</v>
          </cell>
          <cell r="D81">
            <v>38077</v>
          </cell>
          <cell r="E81" t="str">
            <v>Услуга</v>
          </cell>
        </row>
        <row r="82">
          <cell r="B82" t="str">
            <v>ООС-0104-000992</v>
          </cell>
          <cell r="C82" t="str">
            <v>Телефонная линия</v>
          </cell>
          <cell r="D82">
            <v>38077</v>
          </cell>
          <cell r="E82" t="str">
            <v>Услуга</v>
          </cell>
        </row>
        <row r="83">
          <cell r="B83" t="str">
            <v>ООС-0104-000993</v>
          </cell>
          <cell r="C83" t="str">
            <v>Пожарно-охранная сигнал.</v>
          </cell>
          <cell r="D83">
            <v>38077</v>
          </cell>
          <cell r="E83">
            <v>9</v>
          </cell>
          <cell r="F83">
            <v>84</v>
          </cell>
          <cell r="G83">
            <v>75</v>
          </cell>
          <cell r="H83">
            <v>11</v>
          </cell>
          <cell r="I83">
            <v>5</v>
          </cell>
        </row>
        <row r="84">
          <cell r="B84" t="str">
            <v>ООС-0104-000994</v>
          </cell>
          <cell r="C84" t="str">
            <v>Абон. Устр.интег. Доступа</v>
          </cell>
          <cell r="D84">
            <v>38077</v>
          </cell>
          <cell r="E84">
            <v>9</v>
          </cell>
          <cell r="F84">
            <v>84</v>
          </cell>
          <cell r="G84">
            <v>75</v>
          </cell>
          <cell r="H84">
            <v>11</v>
          </cell>
          <cell r="I84">
            <v>5</v>
          </cell>
        </row>
        <row r="85">
          <cell r="B85" t="str">
            <v>ООС-0104-000995</v>
          </cell>
          <cell r="C85" t="str">
            <v>Система ОС</v>
          </cell>
          <cell r="D85">
            <v>38077</v>
          </cell>
          <cell r="E85">
            <v>9</v>
          </cell>
          <cell r="F85">
            <v>84</v>
          </cell>
          <cell r="G85">
            <v>75</v>
          </cell>
          <cell r="H85">
            <v>11</v>
          </cell>
          <cell r="I85">
            <v>5</v>
          </cell>
        </row>
        <row r="86">
          <cell r="B86" t="str">
            <v>ООС-0104-001008</v>
          </cell>
          <cell r="C86" t="str">
            <v>Копир MB 5645</v>
          </cell>
          <cell r="D86">
            <v>38108</v>
          </cell>
          <cell r="E86">
            <v>8</v>
          </cell>
          <cell r="F86">
            <v>60</v>
          </cell>
          <cell r="G86">
            <v>52</v>
          </cell>
          <cell r="H86">
            <v>13</v>
          </cell>
          <cell r="I86">
            <v>10</v>
          </cell>
        </row>
        <row r="87">
          <cell r="B87" t="str">
            <v>ООС-0104-001021</v>
          </cell>
          <cell r="C87" t="str">
            <v>Ноутбук IBM T41</v>
          </cell>
          <cell r="D87">
            <v>38217</v>
          </cell>
          <cell r="E87">
            <v>5</v>
          </cell>
          <cell r="F87">
            <v>60</v>
          </cell>
          <cell r="G87">
            <v>55</v>
          </cell>
          <cell r="H87">
            <v>8</v>
          </cell>
          <cell r="I87">
            <v>10</v>
          </cell>
        </row>
        <row r="88">
          <cell r="B88" t="str">
            <v>ООС-0104-001025</v>
          </cell>
          <cell r="C88" t="str">
            <v>Монитор 17Soni X72 LCD</v>
          </cell>
          <cell r="D88">
            <v>38223</v>
          </cell>
          <cell r="E88">
            <v>4</v>
          </cell>
          <cell r="F88">
            <v>60</v>
          </cell>
          <cell r="G88">
            <v>56</v>
          </cell>
          <cell r="H88">
            <v>7</v>
          </cell>
          <cell r="I88">
            <v>10</v>
          </cell>
        </row>
        <row r="89">
          <cell r="B89" t="str">
            <v>Оос-0104-001030</v>
          </cell>
          <cell r="C89" t="str">
            <v>Сис. Блок C-HPATI</v>
          </cell>
          <cell r="D89">
            <v>38223</v>
          </cell>
          <cell r="E89">
            <v>4</v>
          </cell>
          <cell r="F89">
            <v>60</v>
          </cell>
          <cell r="G89">
            <v>56</v>
          </cell>
          <cell r="H89">
            <v>7</v>
          </cell>
          <cell r="I89">
            <v>10</v>
          </cell>
        </row>
        <row r="90">
          <cell r="B90" t="str">
            <v>ООС-0104-001038</v>
          </cell>
          <cell r="C90" t="str">
            <v>Ноутбук Satel A40</v>
          </cell>
          <cell r="D90">
            <v>38223</v>
          </cell>
          <cell r="E90">
            <v>5</v>
          </cell>
          <cell r="F90">
            <v>60</v>
          </cell>
          <cell r="G90">
            <v>55</v>
          </cell>
          <cell r="H90">
            <v>8</v>
          </cell>
          <cell r="I90">
            <v>10</v>
          </cell>
        </row>
        <row r="91">
          <cell r="B91" t="str">
            <v>ООС-0105-000167</v>
          </cell>
          <cell r="C91" t="str">
            <v>Сейф кабинетный Р-3003</v>
          </cell>
          <cell r="D91">
            <v>36539</v>
          </cell>
          <cell r="E91">
            <v>60</v>
          </cell>
          <cell r="F91">
            <v>260</v>
          </cell>
          <cell r="G91">
            <v>200</v>
          </cell>
          <cell r="H91">
            <v>23</v>
          </cell>
          <cell r="I91">
            <v>50</v>
          </cell>
        </row>
        <row r="92">
          <cell r="B92" t="str">
            <v>ООС-0105-000505</v>
          </cell>
          <cell r="C92" t="str">
            <v>Шкаф-купе НА</v>
          </cell>
          <cell r="D92">
            <v>37622</v>
          </cell>
          <cell r="E92">
            <v>24</v>
          </cell>
          <cell r="F92">
            <v>84</v>
          </cell>
          <cell r="G92">
            <v>60</v>
          </cell>
          <cell r="H92">
            <v>29</v>
          </cell>
          <cell r="I92">
            <v>30</v>
          </cell>
        </row>
        <row r="93">
          <cell r="B93" t="str">
            <v>ООС-0105-000513</v>
          </cell>
          <cell r="C93" t="str">
            <v>Компл. Метал. Стелажей</v>
          </cell>
          <cell r="D93">
            <v>37742</v>
          </cell>
          <cell r="E93">
            <v>20</v>
          </cell>
          <cell r="F93">
            <v>260</v>
          </cell>
          <cell r="G93">
            <v>240</v>
          </cell>
          <cell r="H93">
            <v>8</v>
          </cell>
          <cell r="I93">
            <v>30</v>
          </cell>
        </row>
        <row r="94">
          <cell r="B94" t="str">
            <v>ООС-0105-000515</v>
          </cell>
          <cell r="C94" t="str">
            <v>Гардероб на 216 номеров</v>
          </cell>
          <cell r="D94">
            <v>37742</v>
          </cell>
          <cell r="E94">
            <v>20</v>
          </cell>
          <cell r="F94">
            <v>84</v>
          </cell>
          <cell r="G94">
            <v>64</v>
          </cell>
          <cell r="H94">
            <v>24</v>
          </cell>
          <cell r="I94">
            <v>30</v>
          </cell>
        </row>
        <row r="95">
          <cell r="B95" t="str">
            <v>ООС-0105-000525</v>
          </cell>
          <cell r="C95" t="str">
            <v>Жалюзи</v>
          </cell>
          <cell r="D95">
            <v>38077</v>
          </cell>
          <cell r="E95">
            <v>9</v>
          </cell>
          <cell r="F95">
            <v>24</v>
          </cell>
          <cell r="G95">
            <v>15</v>
          </cell>
          <cell r="H95">
            <v>38</v>
          </cell>
          <cell r="I95">
            <v>5</v>
          </cell>
        </row>
        <row r="96">
          <cell r="B96" t="str">
            <v>ООС-0105-000528</v>
          </cell>
          <cell r="C96" t="str">
            <v>Сейф несгораемый</v>
          </cell>
          <cell r="D96">
            <v>38108</v>
          </cell>
          <cell r="E96">
            <v>8</v>
          </cell>
          <cell r="F96">
            <v>260</v>
          </cell>
          <cell r="G96">
            <v>252</v>
          </cell>
          <cell r="H96">
            <v>3</v>
          </cell>
          <cell r="I96">
            <v>5</v>
          </cell>
        </row>
        <row r="97">
          <cell r="B97" t="str">
            <v>ООС-0105-000529</v>
          </cell>
          <cell r="C97" t="str">
            <v>Сейф двухдверный</v>
          </cell>
          <cell r="D97">
            <v>38108</v>
          </cell>
          <cell r="E97">
            <v>8</v>
          </cell>
          <cell r="F97">
            <v>260</v>
          </cell>
          <cell r="G97">
            <v>252</v>
          </cell>
          <cell r="H97">
            <v>3</v>
          </cell>
          <cell r="I97">
            <v>5</v>
          </cell>
        </row>
        <row r="98">
          <cell r="B98" t="str">
            <v>ООС-0105-000530</v>
          </cell>
          <cell r="C98" t="str">
            <v>Сейф двухячеячный</v>
          </cell>
          <cell r="D98">
            <v>38108</v>
          </cell>
          <cell r="E98">
            <v>8</v>
          </cell>
          <cell r="F98">
            <v>260</v>
          </cell>
          <cell r="G98">
            <v>252</v>
          </cell>
          <cell r="H98">
            <v>3</v>
          </cell>
          <cell r="I98">
            <v>5</v>
          </cell>
        </row>
        <row r="99">
          <cell r="B99" t="str">
            <v>ООС-0105-000531</v>
          </cell>
          <cell r="C99" t="str">
            <v>Сейф Рипис двухяч.</v>
          </cell>
          <cell r="D99">
            <v>38108</v>
          </cell>
          <cell r="E99">
            <v>8</v>
          </cell>
          <cell r="F99">
            <v>260</v>
          </cell>
          <cell r="G99">
            <v>252</v>
          </cell>
          <cell r="H99">
            <v>3</v>
          </cell>
          <cell r="I99">
            <v>5</v>
          </cell>
        </row>
        <row r="100">
          <cell r="B100" t="str">
            <v>ООС-0105-000532</v>
          </cell>
          <cell r="C100" t="str">
            <v>Сейф Aiko</v>
          </cell>
          <cell r="D100">
            <v>38108</v>
          </cell>
          <cell r="E100">
            <v>8</v>
          </cell>
          <cell r="F100">
            <v>260</v>
          </cell>
          <cell r="G100">
            <v>252</v>
          </cell>
          <cell r="H100">
            <v>3</v>
          </cell>
          <cell r="I100">
            <v>5</v>
          </cell>
        </row>
        <row r="101">
          <cell r="B101" t="str">
            <v>ООС-0104--000932</v>
          </cell>
          <cell r="C101" t="str">
            <v>Ноутбук Satellite5205-S705</v>
          </cell>
          <cell r="D101">
            <v>37935</v>
          </cell>
          <cell r="E101">
            <v>14</v>
          </cell>
          <cell r="F101">
            <v>60</v>
          </cell>
          <cell r="G101">
            <v>46</v>
          </cell>
          <cell r="H101">
            <v>23</v>
          </cell>
          <cell r="I101">
            <v>15</v>
          </cell>
        </row>
        <row r="102">
          <cell r="B102" t="str">
            <v>ООС-0104-001080</v>
          </cell>
          <cell r="C102" t="str">
            <v>Пневмонадув. Конструкция</v>
          </cell>
          <cell r="D102">
            <v>38286</v>
          </cell>
          <cell r="E102">
            <v>2</v>
          </cell>
          <cell r="F102">
            <v>24</v>
          </cell>
          <cell r="G102">
            <v>22</v>
          </cell>
          <cell r="H102">
            <v>8</v>
          </cell>
          <cell r="I102">
            <v>0</v>
          </cell>
        </row>
        <row r="103">
          <cell r="B103" t="str">
            <v>ООС-0104-000584</v>
          </cell>
          <cell r="C103" t="str">
            <v>Проектор ASK C20</v>
          </cell>
          <cell r="D103">
            <v>37469</v>
          </cell>
          <cell r="E103">
            <v>29</v>
          </cell>
          <cell r="F103">
            <v>72</v>
          </cell>
          <cell r="G103">
            <v>43</v>
          </cell>
          <cell r="H103">
            <v>40</v>
          </cell>
          <cell r="I103">
            <v>50</v>
          </cell>
        </row>
        <row r="104">
          <cell r="B104" t="str">
            <v>ООС-0104-000285</v>
          </cell>
          <cell r="C104" t="str">
            <v>Сис. Блок Vei8</v>
          </cell>
          <cell r="D104">
            <v>36708</v>
          </cell>
          <cell r="E104">
            <v>54</v>
          </cell>
          <cell r="F104">
            <v>60</v>
          </cell>
          <cell r="G104">
            <v>6</v>
          </cell>
          <cell r="H104">
            <v>90</v>
          </cell>
          <cell r="I104">
            <v>75</v>
          </cell>
        </row>
        <row r="105">
          <cell r="B105" t="str">
            <v>ООС-0104-000333</v>
          </cell>
          <cell r="C105" t="str">
            <v>Сис. Блок VL400</v>
          </cell>
          <cell r="D105">
            <v>36860</v>
          </cell>
          <cell r="E105">
            <v>49</v>
          </cell>
          <cell r="F105">
            <v>60</v>
          </cell>
          <cell r="G105">
            <v>11</v>
          </cell>
          <cell r="H105">
            <v>82</v>
          </cell>
          <cell r="I105">
            <v>75</v>
          </cell>
        </row>
        <row r="106">
          <cell r="B106" t="str">
            <v>ООС-0104-001018</v>
          </cell>
          <cell r="C106" t="str">
            <v>Ноутбук IBM T41</v>
          </cell>
          <cell r="D106">
            <v>38217</v>
          </cell>
          <cell r="E106">
            <v>5</v>
          </cell>
          <cell r="F106">
            <v>60</v>
          </cell>
          <cell r="G106">
            <v>55</v>
          </cell>
          <cell r="H106">
            <v>8</v>
          </cell>
          <cell r="I106">
            <v>1000</v>
          </cell>
        </row>
        <row r="107">
          <cell r="B107" t="str">
            <v>ООС-0104-001019</v>
          </cell>
          <cell r="C107" t="str">
            <v>Ноутбук IBM T41</v>
          </cell>
          <cell r="D107">
            <v>38217</v>
          </cell>
          <cell r="E107">
            <v>5</v>
          </cell>
          <cell r="F107">
            <v>60</v>
          </cell>
          <cell r="G107">
            <v>55</v>
          </cell>
          <cell r="H107">
            <v>8</v>
          </cell>
          <cell r="I107">
            <v>1000</v>
          </cell>
        </row>
        <row r="108">
          <cell r="B108" t="str">
            <v>ООС-0104-001076</v>
          </cell>
          <cell r="C108" t="str">
            <v>Конструкция премьер</v>
          </cell>
          <cell r="D108">
            <v>38268</v>
          </cell>
          <cell r="E108">
            <v>3</v>
          </cell>
          <cell r="F108">
            <v>84</v>
          </cell>
          <cell r="G108">
            <v>81</v>
          </cell>
          <cell r="H108">
            <v>4</v>
          </cell>
          <cell r="I108">
            <v>0</v>
          </cell>
        </row>
        <row r="109">
          <cell r="B109" t="str">
            <v>ООС-0104-001078</v>
          </cell>
          <cell r="C109" t="str">
            <v>Бокс-трибуна</v>
          </cell>
          <cell r="D109">
            <v>38268</v>
          </cell>
          <cell r="E109">
            <v>3</v>
          </cell>
          <cell r="F109">
            <v>84</v>
          </cell>
          <cell r="G109">
            <v>81</v>
          </cell>
          <cell r="H109">
            <v>4</v>
          </cell>
          <cell r="I109">
            <v>0</v>
          </cell>
        </row>
        <row r="110">
          <cell r="B110" t="str">
            <v>ООС-0104-001079</v>
          </cell>
          <cell r="C110" t="str">
            <v>Стол-рецешн</v>
          </cell>
          <cell r="D110">
            <v>38268</v>
          </cell>
          <cell r="E110">
            <v>3</v>
          </cell>
          <cell r="F110">
            <v>84</v>
          </cell>
          <cell r="G110">
            <v>81</v>
          </cell>
          <cell r="H110">
            <v>4</v>
          </cell>
          <cell r="I110">
            <v>0</v>
          </cell>
        </row>
        <row r="111">
          <cell r="B111" t="str">
            <v>ООС-0104-000922</v>
          </cell>
          <cell r="C111" t="str">
            <v>Ноутбук Satellite2800</v>
          </cell>
          <cell r="D111">
            <v>37894</v>
          </cell>
          <cell r="E111">
            <v>15</v>
          </cell>
          <cell r="F111">
            <v>60</v>
          </cell>
          <cell r="G111">
            <v>45</v>
          </cell>
          <cell r="H111">
            <v>25</v>
          </cell>
          <cell r="I111">
            <v>30</v>
          </cell>
        </row>
        <row r="112">
          <cell r="B112" t="str">
            <v>ООС-0104-000924</v>
          </cell>
          <cell r="C112" t="str">
            <v>Сис.блок+монитор Sonic</v>
          </cell>
          <cell r="D112">
            <v>37894</v>
          </cell>
          <cell r="E112">
            <v>15</v>
          </cell>
          <cell r="F112">
            <v>60</v>
          </cell>
          <cell r="G112">
            <v>45</v>
          </cell>
          <cell r="H112">
            <v>25</v>
          </cell>
          <cell r="I112">
            <v>30</v>
          </cell>
        </row>
        <row r="113">
          <cell r="B113" t="str">
            <v>ООС-0104-000923</v>
          </cell>
          <cell r="C113" t="str">
            <v>Сис.блок+монитор HP Vek</v>
          </cell>
          <cell r="D113">
            <v>37894</v>
          </cell>
          <cell r="E113">
            <v>15</v>
          </cell>
          <cell r="F113">
            <v>60</v>
          </cell>
          <cell r="G113">
            <v>45</v>
          </cell>
          <cell r="H113">
            <v>25</v>
          </cell>
          <cell r="I113">
            <v>30</v>
          </cell>
        </row>
        <row r="114">
          <cell r="B114" t="str">
            <v>ООС-0104-000914</v>
          </cell>
          <cell r="C114" t="str">
            <v>Ноутбук Satel 1800-S203</v>
          </cell>
          <cell r="D114">
            <v>37894</v>
          </cell>
          <cell r="E114">
            <v>15</v>
          </cell>
          <cell r="F114">
            <v>60</v>
          </cell>
          <cell r="G114">
            <v>45</v>
          </cell>
          <cell r="H114">
            <v>25</v>
          </cell>
          <cell r="I114">
            <v>30</v>
          </cell>
        </row>
        <row r="115">
          <cell r="B115" t="str">
            <v>ООС-0104-000915</v>
          </cell>
          <cell r="C115" t="str">
            <v>Принтер HP LJ1100</v>
          </cell>
          <cell r="D115">
            <v>37894</v>
          </cell>
          <cell r="E115">
            <v>15</v>
          </cell>
          <cell r="F115">
            <v>60</v>
          </cell>
          <cell r="G115">
            <v>45</v>
          </cell>
          <cell r="H115">
            <v>25</v>
          </cell>
          <cell r="I115">
            <v>30</v>
          </cell>
        </row>
        <row r="116">
          <cell r="B116" t="str">
            <v>ООС-0104-000913</v>
          </cell>
          <cell r="C116" t="str">
            <v>Ноутбук Satel SPA40</v>
          </cell>
          <cell r="D116">
            <v>37894</v>
          </cell>
          <cell r="E116">
            <v>15</v>
          </cell>
          <cell r="F116">
            <v>60</v>
          </cell>
          <cell r="G116">
            <v>45</v>
          </cell>
          <cell r="H116">
            <v>25</v>
          </cell>
          <cell r="I116">
            <v>30</v>
          </cell>
        </row>
        <row r="117">
          <cell r="B117" t="str">
            <v>ООС-0104-000916</v>
          </cell>
          <cell r="C117" t="str">
            <v>Сис.блок+монитор HP</v>
          </cell>
          <cell r="D117">
            <v>37894</v>
          </cell>
          <cell r="E117">
            <v>15</v>
          </cell>
          <cell r="F117">
            <v>60</v>
          </cell>
          <cell r="G117">
            <v>45</v>
          </cell>
          <cell r="H117">
            <v>25</v>
          </cell>
          <cell r="I117">
            <v>30</v>
          </cell>
        </row>
        <row r="118">
          <cell r="B118" t="str">
            <v>ООС-0104-000918</v>
          </cell>
          <cell r="C118" t="str">
            <v>Сис.блок+монитор VL410</v>
          </cell>
          <cell r="D118">
            <v>37894</v>
          </cell>
          <cell r="E118">
            <v>15</v>
          </cell>
          <cell r="F118">
            <v>60</v>
          </cell>
          <cell r="G118">
            <v>45</v>
          </cell>
          <cell r="H118">
            <v>25</v>
          </cell>
          <cell r="I118">
            <v>30</v>
          </cell>
        </row>
        <row r="119">
          <cell r="B119" t="str">
            <v>ООС-0104-000917</v>
          </cell>
          <cell r="C119" t="str">
            <v>Сис.блок+монитор HP</v>
          </cell>
          <cell r="D119">
            <v>37894</v>
          </cell>
          <cell r="E119">
            <v>15</v>
          </cell>
          <cell r="F119">
            <v>60</v>
          </cell>
          <cell r="G119">
            <v>45</v>
          </cell>
          <cell r="H119">
            <v>25</v>
          </cell>
          <cell r="I119">
            <v>30</v>
          </cell>
        </row>
        <row r="120">
          <cell r="B120" t="str">
            <v>ООС-0104-000920</v>
          </cell>
          <cell r="C120" t="str">
            <v>Сис.блок+монитор HP</v>
          </cell>
          <cell r="D120">
            <v>37894</v>
          </cell>
          <cell r="E120">
            <v>15</v>
          </cell>
          <cell r="F120">
            <v>60</v>
          </cell>
          <cell r="G120">
            <v>45</v>
          </cell>
          <cell r="H120">
            <v>25</v>
          </cell>
          <cell r="I120">
            <v>30</v>
          </cell>
        </row>
        <row r="121">
          <cell r="B121" t="str">
            <v>ООС-0104-001031</v>
          </cell>
          <cell r="C121" t="str">
            <v>Сис. Блок P4</v>
          </cell>
          <cell r="D121">
            <v>38223</v>
          </cell>
          <cell r="E121">
            <v>4</v>
          </cell>
          <cell r="F121">
            <v>60</v>
          </cell>
          <cell r="G121">
            <v>56</v>
          </cell>
          <cell r="H121">
            <v>7</v>
          </cell>
          <cell r="I121">
            <v>10</v>
          </cell>
        </row>
        <row r="122">
          <cell r="B122" t="str">
            <v>ООС-0104-001032</v>
          </cell>
          <cell r="C122" t="str">
            <v>Сис. Блок P4</v>
          </cell>
          <cell r="D122">
            <v>38223</v>
          </cell>
          <cell r="E122">
            <v>4</v>
          </cell>
          <cell r="F122">
            <v>60</v>
          </cell>
          <cell r="G122">
            <v>56</v>
          </cell>
          <cell r="H122">
            <v>7</v>
          </cell>
          <cell r="I122">
            <v>10</v>
          </cell>
        </row>
        <row r="123">
          <cell r="B123" t="str">
            <v>ООС-0104-001033</v>
          </cell>
          <cell r="C123" t="str">
            <v>Сис. Блок P4</v>
          </cell>
          <cell r="D123">
            <v>38223</v>
          </cell>
          <cell r="E123">
            <v>4</v>
          </cell>
          <cell r="F123">
            <v>60</v>
          </cell>
          <cell r="G123">
            <v>56</v>
          </cell>
          <cell r="H123">
            <v>7</v>
          </cell>
          <cell r="I123">
            <v>10</v>
          </cell>
        </row>
        <row r="124">
          <cell r="B124" t="str">
            <v>ООС-0104-001034</v>
          </cell>
          <cell r="C124" t="str">
            <v>Сис. Блок P4</v>
          </cell>
          <cell r="D124">
            <v>38223</v>
          </cell>
          <cell r="E124">
            <v>4</v>
          </cell>
          <cell r="F124">
            <v>60</v>
          </cell>
          <cell r="G124">
            <v>56</v>
          </cell>
          <cell r="H124">
            <v>7</v>
          </cell>
          <cell r="I124">
            <v>10</v>
          </cell>
        </row>
        <row r="125">
          <cell r="B125" t="str">
            <v>ООС-0104-001035</v>
          </cell>
          <cell r="C125" t="str">
            <v>Монитор VP191</v>
          </cell>
          <cell r="D125">
            <v>38223</v>
          </cell>
          <cell r="E125">
            <v>4</v>
          </cell>
          <cell r="F125">
            <v>60</v>
          </cell>
          <cell r="G125">
            <v>56</v>
          </cell>
          <cell r="H125">
            <v>7</v>
          </cell>
          <cell r="I125">
            <v>10</v>
          </cell>
        </row>
        <row r="126">
          <cell r="B126" t="str">
            <v>ООС-0104-001036</v>
          </cell>
          <cell r="C126" t="str">
            <v>Монитор VP191</v>
          </cell>
          <cell r="D126">
            <v>38223</v>
          </cell>
          <cell r="E126">
            <v>4</v>
          </cell>
          <cell r="F126">
            <v>60</v>
          </cell>
          <cell r="G126">
            <v>56</v>
          </cell>
          <cell r="H126">
            <v>7</v>
          </cell>
          <cell r="I126">
            <v>10</v>
          </cell>
        </row>
        <row r="127">
          <cell r="B127" t="str">
            <v>ООС-0104-001037</v>
          </cell>
          <cell r="C127" t="str">
            <v>Монитор VP191</v>
          </cell>
          <cell r="D127">
            <v>38223</v>
          </cell>
          <cell r="E127">
            <v>4</v>
          </cell>
          <cell r="F127">
            <v>60</v>
          </cell>
          <cell r="G127">
            <v>56</v>
          </cell>
          <cell r="H127">
            <v>7</v>
          </cell>
          <cell r="I127">
            <v>10</v>
          </cell>
        </row>
        <row r="128">
          <cell r="B128" t="str">
            <v>ООС-0104-00111</v>
          </cell>
          <cell r="C128" t="str">
            <v>Батарейка SUPS1400</v>
          </cell>
          <cell r="D128">
            <v>36433</v>
          </cell>
          <cell r="E128">
            <v>63</v>
          </cell>
          <cell r="F128">
            <v>60</v>
          </cell>
          <cell r="G128">
            <v>0</v>
          </cell>
          <cell r="H128">
            <v>97</v>
          </cell>
          <cell r="I128">
            <v>100</v>
          </cell>
        </row>
        <row r="129">
          <cell r="B129" t="str">
            <v>ООС-0104-00112</v>
          </cell>
          <cell r="C129" t="str">
            <v>Ноутбук Satell 4030CDT</v>
          </cell>
          <cell r="D129">
            <v>36433</v>
          </cell>
          <cell r="E129">
            <v>63</v>
          </cell>
          <cell r="F129">
            <v>60</v>
          </cell>
          <cell r="G129">
            <v>0</v>
          </cell>
          <cell r="H129">
            <v>97</v>
          </cell>
          <cell r="I129">
            <v>100</v>
          </cell>
        </row>
        <row r="130">
          <cell r="B130" t="str">
            <v>ООС-0104-000118</v>
          </cell>
          <cell r="C130" t="str">
            <v>Сис.блок VEi8</v>
          </cell>
          <cell r="D130">
            <v>36464</v>
          </cell>
          <cell r="E130">
            <v>63</v>
          </cell>
          <cell r="F130">
            <v>60</v>
          </cell>
          <cell r="G130">
            <v>0</v>
          </cell>
          <cell r="H130">
            <v>97</v>
          </cell>
          <cell r="I130">
            <v>100</v>
          </cell>
        </row>
        <row r="131">
          <cell r="B131" t="str">
            <v>ООС-0104-000196</v>
          </cell>
          <cell r="C131" t="str">
            <v>Сис. Блок VEi7</v>
          </cell>
          <cell r="D131">
            <v>38091</v>
          </cell>
          <cell r="E131">
            <v>9</v>
          </cell>
          <cell r="F131">
            <v>60</v>
          </cell>
          <cell r="G131">
            <v>51</v>
          </cell>
          <cell r="H131">
            <v>15</v>
          </cell>
          <cell r="I131">
            <v>100</v>
          </cell>
        </row>
        <row r="132">
          <cell r="B132" t="str">
            <v>ООС-010-000214</v>
          </cell>
          <cell r="C132" t="str">
            <v>Ноутбук Satell 2650XDVD</v>
          </cell>
          <cell r="D132">
            <v>36651</v>
          </cell>
          <cell r="E132">
            <v>56</v>
          </cell>
          <cell r="F132">
            <v>60</v>
          </cell>
          <cell r="G132">
            <v>4</v>
          </cell>
          <cell r="H132">
            <v>93</v>
          </cell>
          <cell r="I132">
            <v>100</v>
          </cell>
        </row>
        <row r="133">
          <cell r="B133" t="str">
            <v>ООС-0104-000334</v>
          </cell>
          <cell r="C133" t="str">
            <v>Сис.блок VL400</v>
          </cell>
          <cell r="D133">
            <v>36852</v>
          </cell>
          <cell r="E133">
            <v>49</v>
          </cell>
          <cell r="F133">
            <v>60</v>
          </cell>
          <cell r="G133">
            <v>11</v>
          </cell>
          <cell r="H133">
            <v>82</v>
          </cell>
          <cell r="I133">
            <v>100</v>
          </cell>
        </row>
        <row r="134">
          <cell r="B134" t="str">
            <v>ООС-0104-000731</v>
          </cell>
          <cell r="C134" t="str">
            <v>Ноутбук Satell 2805-S402</v>
          </cell>
          <cell r="D134">
            <v>37622</v>
          </cell>
          <cell r="E134">
            <v>24</v>
          </cell>
          <cell r="F134">
            <v>60</v>
          </cell>
          <cell r="G134">
            <v>36</v>
          </cell>
          <cell r="H134">
            <v>40</v>
          </cell>
          <cell r="I134">
            <v>30</v>
          </cell>
        </row>
        <row r="135">
          <cell r="B135" t="str">
            <v>ООС-0104-000802</v>
          </cell>
          <cell r="C135" t="str">
            <v>Ноутбук Satell 2805-S503</v>
          </cell>
          <cell r="D135">
            <v>37742</v>
          </cell>
          <cell r="E135">
            <v>20</v>
          </cell>
          <cell r="F135">
            <v>60</v>
          </cell>
          <cell r="G135">
            <v>40</v>
          </cell>
          <cell r="H135">
            <v>33</v>
          </cell>
          <cell r="I135">
            <v>100</v>
          </cell>
        </row>
        <row r="136">
          <cell r="B136" t="str">
            <v>ООС-0104-000853</v>
          </cell>
          <cell r="C136" t="str">
            <v>Ноутбук OmnibookXE3</v>
          </cell>
          <cell r="D136">
            <v>37742</v>
          </cell>
          <cell r="E136">
            <v>20</v>
          </cell>
          <cell r="F136">
            <v>60</v>
          </cell>
          <cell r="G136">
            <v>40</v>
          </cell>
          <cell r="H136">
            <v>33</v>
          </cell>
          <cell r="I136">
            <v>75</v>
          </cell>
        </row>
        <row r="137">
          <cell r="B137" t="str">
            <v>ООС-0105-000119</v>
          </cell>
          <cell r="C137" t="str">
            <v>Напол. Монтаж.шкаф42U</v>
          </cell>
          <cell r="D137">
            <v>36464</v>
          </cell>
          <cell r="E137">
            <v>62</v>
          </cell>
          <cell r="F137">
            <v>84</v>
          </cell>
          <cell r="G137">
            <v>22</v>
          </cell>
          <cell r="H137">
            <v>74</v>
          </cell>
          <cell r="I137">
            <v>60</v>
          </cell>
        </row>
        <row r="138">
          <cell r="B138" t="str">
            <v>ООС-0105-000450</v>
          </cell>
          <cell r="C138" t="str">
            <v>Шкаф А722К000с полками</v>
          </cell>
          <cell r="D138">
            <v>37254</v>
          </cell>
          <cell r="E138">
            <v>36</v>
          </cell>
          <cell r="F138">
            <v>60</v>
          </cell>
          <cell r="G138">
            <v>24</v>
          </cell>
          <cell r="H138">
            <v>60</v>
          </cell>
          <cell r="I138">
            <v>100</v>
          </cell>
        </row>
        <row r="139">
          <cell r="B139" t="str">
            <v>ООС-0104-000931</v>
          </cell>
          <cell r="C139" t="str">
            <v>Ноутбук Satell 5205-S705</v>
          </cell>
          <cell r="D139">
            <v>37935</v>
          </cell>
          <cell r="E139">
            <v>14</v>
          </cell>
          <cell r="F139">
            <v>60</v>
          </cell>
          <cell r="G139">
            <v>46</v>
          </cell>
          <cell r="H139">
            <v>23</v>
          </cell>
          <cell r="I139">
            <v>30</v>
          </cell>
        </row>
        <row r="140">
          <cell r="B140" t="str">
            <v>ООС-0104-000222</v>
          </cell>
          <cell r="C140" t="str">
            <v>Ноутбук satell 2715XDVD</v>
          </cell>
          <cell r="D140">
            <v>36683</v>
          </cell>
          <cell r="E140">
            <v>55</v>
          </cell>
          <cell r="F140">
            <v>60</v>
          </cell>
          <cell r="G140">
            <v>5</v>
          </cell>
          <cell r="H140">
            <v>92</v>
          </cell>
          <cell r="I140">
            <v>75</v>
          </cell>
        </row>
        <row r="141">
          <cell r="B141" t="str">
            <v>ООС-0104-000223</v>
          </cell>
          <cell r="C141" t="str">
            <v>Ноутбук Satell 440 CDX</v>
          </cell>
          <cell r="D141">
            <v>36685</v>
          </cell>
          <cell r="E141">
            <v>55</v>
          </cell>
          <cell r="F141">
            <v>60</v>
          </cell>
          <cell r="G141">
            <v>5</v>
          </cell>
          <cell r="H141">
            <v>92</v>
          </cell>
          <cell r="I141">
            <v>75</v>
          </cell>
        </row>
        <row r="142">
          <cell r="B142" t="str">
            <v>ООС-0104-000227</v>
          </cell>
          <cell r="C142" t="str">
            <v>Сис. Блок HPCLJ8550N</v>
          </cell>
          <cell r="D142">
            <v>36682</v>
          </cell>
          <cell r="E142">
            <v>55</v>
          </cell>
          <cell r="F142">
            <v>60</v>
          </cell>
          <cell r="G142">
            <v>5</v>
          </cell>
          <cell r="H142">
            <v>92</v>
          </cell>
          <cell r="I142">
            <v>75</v>
          </cell>
        </row>
        <row r="143">
          <cell r="B143" t="str">
            <v>ООС-0104-000228</v>
          </cell>
          <cell r="C143" t="str">
            <v>Сис. Блок Vei8</v>
          </cell>
          <cell r="D143">
            <v>36682</v>
          </cell>
          <cell r="E143">
            <v>55</v>
          </cell>
          <cell r="F143">
            <v>60</v>
          </cell>
          <cell r="G143">
            <v>5</v>
          </cell>
          <cell r="H143">
            <v>92</v>
          </cell>
          <cell r="I143">
            <v>75</v>
          </cell>
        </row>
        <row r="144">
          <cell r="B144" t="str">
            <v>ООС-0104-000229</v>
          </cell>
          <cell r="C144" t="str">
            <v>Сис. Блок Vei8</v>
          </cell>
          <cell r="D144">
            <v>36682</v>
          </cell>
          <cell r="E144">
            <v>55</v>
          </cell>
          <cell r="F144">
            <v>60</v>
          </cell>
          <cell r="G144">
            <v>5</v>
          </cell>
          <cell r="H144">
            <v>92</v>
          </cell>
          <cell r="I144">
            <v>75</v>
          </cell>
        </row>
        <row r="145">
          <cell r="B145" t="str">
            <v>ООС-0104-000230</v>
          </cell>
          <cell r="C145" t="str">
            <v>Сис. Блок Vei8</v>
          </cell>
          <cell r="D145">
            <v>36682</v>
          </cell>
          <cell r="E145">
            <v>55</v>
          </cell>
          <cell r="F145">
            <v>60</v>
          </cell>
          <cell r="G145">
            <v>5</v>
          </cell>
          <cell r="H145">
            <v>92</v>
          </cell>
          <cell r="I145">
            <v>75</v>
          </cell>
        </row>
        <row r="146">
          <cell r="B146" t="str">
            <v>ООС-0104-000231</v>
          </cell>
          <cell r="C146" t="str">
            <v>Сис. Блок Vei8</v>
          </cell>
          <cell r="D146">
            <v>36682</v>
          </cell>
          <cell r="E146">
            <v>55</v>
          </cell>
          <cell r="F146">
            <v>60</v>
          </cell>
          <cell r="G146">
            <v>5</v>
          </cell>
          <cell r="H146">
            <v>92</v>
          </cell>
          <cell r="I146">
            <v>75</v>
          </cell>
        </row>
        <row r="147">
          <cell r="B147" t="str">
            <v>ООС-0104-000298</v>
          </cell>
          <cell r="C147" t="str">
            <v>Принтер HPLJ4050N</v>
          </cell>
          <cell r="D147">
            <v>36708</v>
          </cell>
          <cell r="E147">
            <v>54</v>
          </cell>
          <cell r="F147">
            <v>60</v>
          </cell>
          <cell r="G147">
            <v>6</v>
          </cell>
          <cell r="H147">
            <v>90</v>
          </cell>
          <cell r="I147">
            <v>75</v>
          </cell>
        </row>
        <row r="148">
          <cell r="B148" t="str">
            <v>ООС-0104-000300</v>
          </cell>
          <cell r="C148" t="str">
            <v>Сис. Блок Vei7</v>
          </cell>
          <cell r="D148">
            <v>36735</v>
          </cell>
          <cell r="E148">
            <v>53</v>
          </cell>
          <cell r="F148">
            <v>60</v>
          </cell>
          <cell r="G148">
            <v>7</v>
          </cell>
          <cell r="H148">
            <v>88</v>
          </cell>
          <cell r="I148">
            <v>75</v>
          </cell>
        </row>
        <row r="149">
          <cell r="B149" t="str">
            <v>ООС-0104-000306</v>
          </cell>
          <cell r="C149" t="str">
            <v>Серверный шкаф</v>
          </cell>
          <cell r="D149">
            <v>36755</v>
          </cell>
          <cell r="E149">
            <v>53</v>
          </cell>
          <cell r="F149">
            <v>60</v>
          </cell>
          <cell r="G149">
            <v>7</v>
          </cell>
          <cell r="H149">
            <v>88</v>
          </cell>
          <cell r="I149">
            <v>60</v>
          </cell>
        </row>
        <row r="150">
          <cell r="B150" t="str">
            <v>ООС-0104-000310</v>
          </cell>
          <cell r="C150" t="str">
            <v>Сис. Блок Vei7</v>
          </cell>
          <cell r="D150">
            <v>36770</v>
          </cell>
          <cell r="E150">
            <v>52</v>
          </cell>
          <cell r="F150">
            <v>60</v>
          </cell>
          <cell r="G150">
            <v>8</v>
          </cell>
          <cell r="H150">
            <v>87</v>
          </cell>
          <cell r="I150">
            <v>75</v>
          </cell>
        </row>
        <row r="151">
          <cell r="B151" t="str">
            <v>ООС-0104-000345</v>
          </cell>
          <cell r="C151" t="str">
            <v>Сетевое обор.SSwitch6000</v>
          </cell>
          <cell r="D151">
            <v>36861</v>
          </cell>
          <cell r="E151">
            <v>49</v>
          </cell>
          <cell r="F151">
            <v>60</v>
          </cell>
          <cell r="G151">
            <v>11</v>
          </cell>
          <cell r="H151">
            <v>82</v>
          </cell>
          <cell r="I151">
            <v>75</v>
          </cell>
        </row>
        <row r="152">
          <cell r="B152" t="str">
            <v>ООС-0104-000346</v>
          </cell>
          <cell r="C152" t="str">
            <v>Сис. Блок HP-7</v>
          </cell>
          <cell r="D152">
            <v>36879</v>
          </cell>
          <cell r="E152">
            <v>49</v>
          </cell>
          <cell r="F152">
            <v>60</v>
          </cell>
          <cell r="G152">
            <v>11</v>
          </cell>
          <cell r="H152">
            <v>82</v>
          </cell>
          <cell r="I152">
            <v>75</v>
          </cell>
        </row>
        <row r="153">
          <cell r="B153" t="str">
            <v>ООС-0104-000347</v>
          </cell>
          <cell r="C153" t="str">
            <v>Сервер HP LH6000</v>
          </cell>
          <cell r="D153">
            <v>36861</v>
          </cell>
          <cell r="E153">
            <v>49</v>
          </cell>
          <cell r="F153">
            <v>60</v>
          </cell>
          <cell r="G153">
            <v>11</v>
          </cell>
          <cell r="H153">
            <v>82</v>
          </cell>
          <cell r="I153">
            <v>60</v>
          </cell>
        </row>
        <row r="154">
          <cell r="B154" t="str">
            <v>ООС-0104-000462</v>
          </cell>
          <cell r="C154" t="str">
            <v>Телеф.Panasonic KT-ST15</v>
          </cell>
          <cell r="D154">
            <v>37165</v>
          </cell>
          <cell r="E154">
            <v>39</v>
          </cell>
          <cell r="F154">
            <v>60</v>
          </cell>
          <cell r="G154">
            <v>21</v>
          </cell>
          <cell r="H154">
            <v>65</v>
          </cell>
          <cell r="I154">
            <v>100</v>
          </cell>
        </row>
        <row r="155">
          <cell r="B155" t="str">
            <v>ООС-0104-000548</v>
          </cell>
          <cell r="C155" t="str">
            <v>Сетевое обор.Cabletron</v>
          </cell>
          <cell r="D155">
            <v>37316</v>
          </cell>
          <cell r="E155">
            <v>34</v>
          </cell>
          <cell r="F155">
            <v>60</v>
          </cell>
          <cell r="G155">
            <v>26</v>
          </cell>
          <cell r="H155">
            <v>57</v>
          </cell>
          <cell r="I155">
            <v>65</v>
          </cell>
        </row>
        <row r="156">
          <cell r="B156" t="str">
            <v>ООС-0104-000561</v>
          </cell>
          <cell r="C156" t="str">
            <v>Сис. Блок VL420</v>
          </cell>
          <cell r="D156">
            <v>37316</v>
          </cell>
          <cell r="E156">
            <v>34</v>
          </cell>
          <cell r="F156">
            <v>60</v>
          </cell>
          <cell r="G156">
            <v>26</v>
          </cell>
          <cell r="H156">
            <v>57</v>
          </cell>
          <cell r="I156">
            <v>65</v>
          </cell>
        </row>
        <row r="157">
          <cell r="B157" t="str">
            <v>ООС-0104-000562</v>
          </cell>
          <cell r="C157" t="str">
            <v>Сис. Блок VL420</v>
          </cell>
          <cell r="D157">
            <v>37316</v>
          </cell>
          <cell r="E157">
            <v>34</v>
          </cell>
          <cell r="F157">
            <v>60</v>
          </cell>
          <cell r="G157">
            <v>26</v>
          </cell>
          <cell r="H157">
            <v>57</v>
          </cell>
          <cell r="I157">
            <v>65</v>
          </cell>
        </row>
        <row r="158">
          <cell r="B158" t="str">
            <v>ООС-0104-000564</v>
          </cell>
          <cell r="C158" t="str">
            <v>Сис. Блок VL420</v>
          </cell>
          <cell r="D158">
            <v>37316</v>
          </cell>
          <cell r="E158">
            <v>34</v>
          </cell>
          <cell r="F158">
            <v>60</v>
          </cell>
          <cell r="G158">
            <v>26</v>
          </cell>
          <cell r="H158">
            <v>57</v>
          </cell>
          <cell r="I158">
            <v>65</v>
          </cell>
        </row>
        <row r="159">
          <cell r="B159" t="str">
            <v>ООС-0104-000610</v>
          </cell>
          <cell r="C159" t="str">
            <v>Принтер HPLJ2200</v>
          </cell>
          <cell r="D159">
            <v>37622</v>
          </cell>
          <cell r="E159">
            <v>24</v>
          </cell>
          <cell r="F159">
            <v>60</v>
          </cell>
          <cell r="G159">
            <v>36</v>
          </cell>
          <cell r="H159">
            <v>40</v>
          </cell>
          <cell r="I159">
            <v>50</v>
          </cell>
        </row>
        <row r="160">
          <cell r="B160" t="str">
            <v>ООС-0104-000730</v>
          </cell>
          <cell r="C160" t="str">
            <v xml:space="preserve">Сервер Москва </v>
          </cell>
          <cell r="D160">
            <v>37622</v>
          </cell>
          <cell r="E160">
            <v>24</v>
          </cell>
          <cell r="F160">
            <v>60</v>
          </cell>
          <cell r="G160">
            <v>36</v>
          </cell>
          <cell r="H160">
            <v>40</v>
          </cell>
          <cell r="I160">
            <v>10</v>
          </cell>
        </row>
        <row r="161">
          <cell r="B161" t="str">
            <v>ООС-0104-000732</v>
          </cell>
          <cell r="C161" t="str">
            <v>Сис. Блок VI410</v>
          </cell>
          <cell r="D161">
            <v>37622</v>
          </cell>
          <cell r="E161">
            <v>24</v>
          </cell>
          <cell r="F161">
            <v>60</v>
          </cell>
          <cell r="G161">
            <v>36</v>
          </cell>
          <cell r="H161">
            <v>40</v>
          </cell>
          <cell r="I161">
            <v>50</v>
          </cell>
        </row>
        <row r="162">
          <cell r="B162" t="str">
            <v>ООС-0104-000764</v>
          </cell>
          <cell r="C162" t="str">
            <v>Копп. Апп. MB9408</v>
          </cell>
          <cell r="D162">
            <v>37656</v>
          </cell>
          <cell r="E162">
            <v>23</v>
          </cell>
          <cell r="F162">
            <v>60</v>
          </cell>
          <cell r="G162">
            <v>37</v>
          </cell>
          <cell r="H162">
            <v>38</v>
          </cell>
          <cell r="I162">
            <v>50</v>
          </cell>
        </row>
        <row r="163">
          <cell r="B163" t="str">
            <v>ООС-0104-000777</v>
          </cell>
          <cell r="C163" t="str">
            <v>Сис. Блок+монитор VL400</v>
          </cell>
          <cell r="D163">
            <v>37681</v>
          </cell>
          <cell r="E163">
            <v>22</v>
          </cell>
          <cell r="F163">
            <v>60</v>
          </cell>
          <cell r="G163">
            <v>38</v>
          </cell>
          <cell r="H163">
            <v>37</v>
          </cell>
          <cell r="I163">
            <v>60</v>
          </cell>
        </row>
        <row r="164">
          <cell r="B164" t="str">
            <v>ООС-0104-000778</v>
          </cell>
          <cell r="C164" t="str">
            <v>Сис. Блок Vei7</v>
          </cell>
          <cell r="D164">
            <v>37681</v>
          </cell>
          <cell r="E164">
            <v>22</v>
          </cell>
          <cell r="F164">
            <v>60</v>
          </cell>
          <cell r="G164">
            <v>38</v>
          </cell>
          <cell r="H164">
            <v>37</v>
          </cell>
          <cell r="I164">
            <v>75</v>
          </cell>
        </row>
        <row r="165">
          <cell r="B165" t="str">
            <v>ООС-0104-000779</v>
          </cell>
          <cell r="C165" t="str">
            <v>Сис. Блок+монитор VL400</v>
          </cell>
          <cell r="D165">
            <v>37681</v>
          </cell>
          <cell r="E165">
            <v>22</v>
          </cell>
          <cell r="F165">
            <v>60</v>
          </cell>
          <cell r="G165">
            <v>38</v>
          </cell>
          <cell r="H165">
            <v>37</v>
          </cell>
          <cell r="I165">
            <v>60</v>
          </cell>
        </row>
        <row r="166">
          <cell r="B166" t="str">
            <v>ООС-0104-000792</v>
          </cell>
          <cell r="C166" t="str">
            <v>Сервер HP LH2</v>
          </cell>
          <cell r="D166">
            <v>37712</v>
          </cell>
          <cell r="E166">
            <v>21</v>
          </cell>
          <cell r="F166">
            <v>60</v>
          </cell>
          <cell r="G166">
            <v>39</v>
          </cell>
          <cell r="H166">
            <v>35</v>
          </cell>
          <cell r="I166">
            <v>60</v>
          </cell>
        </row>
        <row r="167">
          <cell r="B167" t="str">
            <v>ООС-0104-000937</v>
          </cell>
          <cell r="C167" t="str">
            <v>Факс Panasonic FL503</v>
          </cell>
          <cell r="D167">
            <v>37949</v>
          </cell>
          <cell r="E167">
            <v>13</v>
          </cell>
          <cell r="F167">
            <v>60</v>
          </cell>
          <cell r="G167">
            <v>47</v>
          </cell>
          <cell r="H167">
            <v>22</v>
          </cell>
          <cell r="I167">
            <v>30</v>
          </cell>
        </row>
        <row r="168">
          <cell r="B168" t="str">
            <v>ООС-0104-000939</v>
          </cell>
          <cell r="C168" t="str">
            <v>Ноутбук satell SA20-S203</v>
          </cell>
          <cell r="D168">
            <v>37972</v>
          </cell>
          <cell r="E168">
            <v>13</v>
          </cell>
          <cell r="F168">
            <v>60</v>
          </cell>
          <cell r="G168">
            <v>47</v>
          </cell>
          <cell r="H168">
            <v>22</v>
          </cell>
          <cell r="I168">
            <v>30</v>
          </cell>
        </row>
        <row r="169">
          <cell r="B169" t="str">
            <v>ООС-0104-000940</v>
          </cell>
          <cell r="C169" t="str">
            <v>Ноутбук Satell SA10-S703</v>
          </cell>
          <cell r="D169">
            <v>37980</v>
          </cell>
          <cell r="E169">
            <v>12</v>
          </cell>
          <cell r="F169">
            <v>60</v>
          </cell>
          <cell r="G169">
            <v>48</v>
          </cell>
          <cell r="H169">
            <v>20</v>
          </cell>
          <cell r="I169">
            <v>30</v>
          </cell>
        </row>
        <row r="170">
          <cell r="B170" t="str">
            <v>ООС-0104-000941</v>
          </cell>
          <cell r="C170" t="str">
            <v>Ноутбук Satell SA30-213</v>
          </cell>
          <cell r="D170">
            <v>37980</v>
          </cell>
          <cell r="E170">
            <v>12</v>
          </cell>
          <cell r="F170">
            <v>60</v>
          </cell>
          <cell r="G170">
            <v>48</v>
          </cell>
          <cell r="H170">
            <v>20</v>
          </cell>
          <cell r="I170">
            <v>30</v>
          </cell>
        </row>
        <row r="171">
          <cell r="B171" t="str">
            <v>ООС-0104-000967</v>
          </cell>
          <cell r="C171" t="str">
            <v>Сис. Блок HP E-PC</v>
          </cell>
          <cell r="D171">
            <v>38034</v>
          </cell>
          <cell r="E171">
            <v>11</v>
          </cell>
          <cell r="F171">
            <v>60</v>
          </cell>
          <cell r="G171">
            <v>49</v>
          </cell>
          <cell r="H171">
            <v>18</v>
          </cell>
          <cell r="I171">
            <v>75</v>
          </cell>
        </row>
        <row r="172">
          <cell r="B172" t="str">
            <v>ООС-0104-000968</v>
          </cell>
          <cell r="C172" t="str">
            <v>Сис. Блок Vei8</v>
          </cell>
          <cell r="D172">
            <v>38034</v>
          </cell>
          <cell r="E172">
            <v>11</v>
          </cell>
          <cell r="F172">
            <v>60</v>
          </cell>
          <cell r="G172">
            <v>49</v>
          </cell>
          <cell r="H172">
            <v>18</v>
          </cell>
          <cell r="I172">
            <v>65</v>
          </cell>
        </row>
        <row r="173">
          <cell r="B173" t="str">
            <v>ООС-0104-000977</v>
          </cell>
          <cell r="C173" t="str">
            <v>Ноутбук satell Pro4340</v>
          </cell>
          <cell r="D173">
            <v>38076</v>
          </cell>
          <cell r="E173">
            <v>9</v>
          </cell>
          <cell r="F173">
            <v>60</v>
          </cell>
          <cell r="G173">
            <v>51</v>
          </cell>
          <cell r="H173">
            <v>15</v>
          </cell>
          <cell r="I173">
            <v>10</v>
          </cell>
        </row>
        <row r="174">
          <cell r="B174" t="str">
            <v>ООС-0104-000978</v>
          </cell>
          <cell r="C174" t="str">
            <v>Ноутбук Satell Pro440CDX</v>
          </cell>
          <cell r="D174">
            <v>38076</v>
          </cell>
          <cell r="E174">
            <v>9</v>
          </cell>
          <cell r="F174">
            <v>60</v>
          </cell>
          <cell r="G174">
            <v>51</v>
          </cell>
          <cell r="H174">
            <v>15</v>
          </cell>
          <cell r="I174">
            <v>10</v>
          </cell>
        </row>
        <row r="175">
          <cell r="B175" t="str">
            <v>ООС-0104-000979</v>
          </cell>
          <cell r="C175" t="str">
            <v>Ноутбук Satell Pro 4600</v>
          </cell>
          <cell r="D175">
            <v>38076</v>
          </cell>
          <cell r="E175">
            <v>9</v>
          </cell>
          <cell r="F175">
            <v>60</v>
          </cell>
          <cell r="G175">
            <v>51</v>
          </cell>
          <cell r="H175">
            <v>15</v>
          </cell>
          <cell r="I175">
            <v>10</v>
          </cell>
        </row>
        <row r="176">
          <cell r="B176" t="str">
            <v>ООС-0104-000980</v>
          </cell>
          <cell r="C176" t="str">
            <v>Ноутбук Satell S5100-501</v>
          </cell>
          <cell r="D176">
            <v>38076</v>
          </cell>
          <cell r="E176">
            <v>9</v>
          </cell>
          <cell r="F176">
            <v>60</v>
          </cell>
          <cell r="G176">
            <v>51</v>
          </cell>
          <cell r="H176">
            <v>15</v>
          </cell>
          <cell r="I176">
            <v>10</v>
          </cell>
        </row>
        <row r="177">
          <cell r="B177" t="str">
            <v>ООС-0104-000997</v>
          </cell>
          <cell r="C177" t="str">
            <v>Сетевое обор. Cisco2950</v>
          </cell>
          <cell r="D177">
            <v>38077</v>
          </cell>
          <cell r="E177">
            <v>9</v>
          </cell>
          <cell r="F177">
            <v>60</v>
          </cell>
          <cell r="G177">
            <v>51</v>
          </cell>
          <cell r="H177">
            <v>15</v>
          </cell>
          <cell r="I177">
            <v>10</v>
          </cell>
        </row>
        <row r="178">
          <cell r="B178" t="str">
            <v>ООС-0104-000999</v>
          </cell>
          <cell r="C178" t="str">
            <v>Сетевое обор. Cisco2620</v>
          </cell>
          <cell r="D178">
            <v>38077</v>
          </cell>
          <cell r="E178">
            <v>9</v>
          </cell>
          <cell r="F178">
            <v>60</v>
          </cell>
          <cell r="G178">
            <v>51</v>
          </cell>
          <cell r="H178">
            <v>15</v>
          </cell>
          <cell r="I178">
            <v>10</v>
          </cell>
        </row>
        <row r="179">
          <cell r="B179" t="str">
            <v>ООС-0104-001000</v>
          </cell>
          <cell r="C179" t="str">
            <v>сис. Блок HP D330</v>
          </cell>
          <cell r="D179">
            <v>38092</v>
          </cell>
          <cell r="E179">
            <v>9</v>
          </cell>
          <cell r="F179">
            <v>60</v>
          </cell>
          <cell r="G179">
            <v>51</v>
          </cell>
          <cell r="H179">
            <v>15</v>
          </cell>
          <cell r="I179">
            <v>10</v>
          </cell>
        </row>
        <row r="180">
          <cell r="B180" t="str">
            <v>ООС-0104-001001</v>
          </cell>
          <cell r="C180" t="str">
            <v>сис. Блок HP D330</v>
          </cell>
          <cell r="D180">
            <v>38092</v>
          </cell>
          <cell r="E180">
            <v>9</v>
          </cell>
          <cell r="F180">
            <v>60</v>
          </cell>
          <cell r="G180">
            <v>51</v>
          </cell>
          <cell r="H180">
            <v>15</v>
          </cell>
          <cell r="I180">
            <v>10</v>
          </cell>
        </row>
        <row r="181">
          <cell r="B181" t="str">
            <v>ООС-0104-001002</v>
          </cell>
          <cell r="C181" t="str">
            <v>Процессор WS MI5i</v>
          </cell>
          <cell r="D181">
            <v>38103</v>
          </cell>
          <cell r="E181">
            <v>8</v>
          </cell>
          <cell r="F181">
            <v>60</v>
          </cell>
          <cell r="G181">
            <v>52</v>
          </cell>
          <cell r="H181">
            <v>13</v>
          </cell>
          <cell r="I181">
            <v>10</v>
          </cell>
        </row>
        <row r="182">
          <cell r="B182" t="str">
            <v>ООС-0104-001009</v>
          </cell>
          <cell r="C182" t="str">
            <v>Сетевое обор. Cisko2620V</v>
          </cell>
          <cell r="D182">
            <v>38108</v>
          </cell>
          <cell r="E182">
            <v>8</v>
          </cell>
          <cell r="F182">
            <v>60</v>
          </cell>
          <cell r="G182">
            <v>52</v>
          </cell>
          <cell r="H182">
            <v>13</v>
          </cell>
          <cell r="I182">
            <v>10</v>
          </cell>
        </row>
        <row r="183">
          <cell r="B183" t="str">
            <v>ООС-0104-001022</v>
          </cell>
          <cell r="C183" t="str">
            <v>Сервер  HPDL380R03</v>
          </cell>
          <cell r="D183">
            <v>38223</v>
          </cell>
          <cell r="E183">
            <v>4</v>
          </cell>
          <cell r="F183">
            <v>60</v>
          </cell>
          <cell r="G183">
            <v>56</v>
          </cell>
          <cell r="H183">
            <v>7</v>
          </cell>
          <cell r="I183">
            <v>10</v>
          </cell>
        </row>
        <row r="184">
          <cell r="B184" t="str">
            <v>ООС-0104-001023</v>
          </cell>
          <cell r="C184" t="str">
            <v>Сервер HPDL380R03</v>
          </cell>
          <cell r="D184">
            <v>38223</v>
          </cell>
          <cell r="E184">
            <v>4</v>
          </cell>
          <cell r="F184">
            <v>60</v>
          </cell>
          <cell r="G184">
            <v>56</v>
          </cell>
          <cell r="H184">
            <v>7</v>
          </cell>
          <cell r="I184">
            <v>10</v>
          </cell>
        </row>
        <row r="185">
          <cell r="B185" t="str">
            <v>ООС-0104-001024</v>
          </cell>
          <cell r="C185" t="str">
            <v>Модуль памяти 1GB</v>
          </cell>
          <cell r="D185">
            <v>38223</v>
          </cell>
          <cell r="E185">
            <v>4</v>
          </cell>
          <cell r="F185">
            <v>60</v>
          </cell>
          <cell r="G185">
            <v>56</v>
          </cell>
          <cell r="H185">
            <v>7</v>
          </cell>
          <cell r="I185">
            <v>10</v>
          </cell>
        </row>
        <row r="186">
          <cell r="B186" t="str">
            <v>ООС-0104-001026</v>
          </cell>
          <cell r="C186" t="str">
            <v>Стриммер Hpдля серверов</v>
          </cell>
          <cell r="D186">
            <v>38223</v>
          </cell>
          <cell r="E186">
            <v>4</v>
          </cell>
          <cell r="F186">
            <v>60</v>
          </cell>
          <cell r="G186">
            <v>56</v>
          </cell>
          <cell r="H186">
            <v>7</v>
          </cell>
          <cell r="I186">
            <v>10</v>
          </cell>
        </row>
        <row r="187">
          <cell r="B187" t="str">
            <v>ООС-0104-001027</v>
          </cell>
          <cell r="C187" t="str">
            <v>Монитор VP171s17</v>
          </cell>
          <cell r="D187">
            <v>38223</v>
          </cell>
          <cell r="E187">
            <v>4</v>
          </cell>
          <cell r="F187">
            <v>60</v>
          </cell>
          <cell r="G187">
            <v>56</v>
          </cell>
          <cell r="H187">
            <v>7</v>
          </cell>
          <cell r="I187">
            <v>10</v>
          </cell>
        </row>
        <row r="188">
          <cell r="B188" t="str">
            <v>ООС-0104-001028</v>
          </cell>
          <cell r="C188" t="str">
            <v>Монитор VP171s17</v>
          </cell>
          <cell r="D188">
            <v>38223</v>
          </cell>
          <cell r="E188">
            <v>4</v>
          </cell>
          <cell r="F188">
            <v>60</v>
          </cell>
          <cell r="G188">
            <v>56</v>
          </cell>
          <cell r="H188">
            <v>7</v>
          </cell>
          <cell r="I188">
            <v>10</v>
          </cell>
        </row>
        <row r="189">
          <cell r="B189" t="str">
            <v>ООС-0104-001029</v>
          </cell>
          <cell r="C189" t="str">
            <v>Монитор VP171s17</v>
          </cell>
          <cell r="D189">
            <v>38223</v>
          </cell>
          <cell r="E189">
            <v>4</v>
          </cell>
          <cell r="F189">
            <v>60</v>
          </cell>
          <cell r="G189">
            <v>56</v>
          </cell>
          <cell r="H189">
            <v>7</v>
          </cell>
          <cell r="I189">
            <v>10</v>
          </cell>
        </row>
        <row r="190">
          <cell r="B190" t="str">
            <v>ООС-0104-001039</v>
          </cell>
          <cell r="C190" t="str">
            <v>Кондиционер WSA 073BE</v>
          </cell>
          <cell r="D190">
            <v>38223</v>
          </cell>
          <cell r="E190">
            <v>4</v>
          </cell>
          <cell r="F190">
            <v>84</v>
          </cell>
          <cell r="G190">
            <v>80</v>
          </cell>
          <cell r="H190">
            <v>5</v>
          </cell>
          <cell r="I190">
            <v>10</v>
          </cell>
        </row>
        <row r="191">
          <cell r="B191" t="str">
            <v>ООС-0104-000704</v>
          </cell>
          <cell r="C191" t="str">
            <v>Ноутбук  Satell 5005-S504</v>
          </cell>
          <cell r="D191">
            <v>37622</v>
          </cell>
          <cell r="E191">
            <v>24</v>
          </cell>
          <cell r="F191">
            <v>60</v>
          </cell>
          <cell r="G191">
            <v>36</v>
          </cell>
          <cell r="H191">
            <v>40</v>
          </cell>
          <cell r="I191">
            <v>40</v>
          </cell>
        </row>
        <row r="192">
          <cell r="B192" t="str">
            <v>ООС-0104-000708</v>
          </cell>
          <cell r="C192" t="str">
            <v>Сис. Блок VI420</v>
          </cell>
          <cell r="D192">
            <v>37622</v>
          </cell>
          <cell r="E192">
            <v>24</v>
          </cell>
          <cell r="F192">
            <v>60</v>
          </cell>
          <cell r="G192">
            <v>36</v>
          </cell>
          <cell r="H192">
            <v>40</v>
          </cell>
          <cell r="I192">
            <v>60</v>
          </cell>
        </row>
        <row r="193">
          <cell r="B193" t="str">
            <v>ООС-0104-001040</v>
          </cell>
          <cell r="C193" t="str">
            <v>Сис. Блок P4-2.4/512/40GB</v>
          </cell>
          <cell r="D193">
            <v>38254</v>
          </cell>
          <cell r="E193">
            <v>3</v>
          </cell>
          <cell r="F193">
            <v>60</v>
          </cell>
          <cell r="G193">
            <v>57</v>
          </cell>
          <cell r="H193">
            <v>5</v>
          </cell>
          <cell r="I193">
            <v>10</v>
          </cell>
        </row>
        <row r="194">
          <cell r="B194" t="str">
            <v>ООС-0105-000371</v>
          </cell>
          <cell r="C194" t="str">
            <v>Шкаф А722К000</v>
          </cell>
          <cell r="D194">
            <v>36922</v>
          </cell>
          <cell r="E194">
            <v>47</v>
          </cell>
          <cell r="F194">
            <v>84</v>
          </cell>
          <cell r="G194">
            <v>37</v>
          </cell>
          <cell r="H194">
            <v>56</v>
          </cell>
          <cell r="I194">
            <v>100</v>
          </cell>
        </row>
        <row r="195">
          <cell r="B195" t="str">
            <v>ООС-0105-000372</v>
          </cell>
          <cell r="C195" t="str">
            <v>Шкаф А722К000</v>
          </cell>
          <cell r="D195">
            <v>36922</v>
          </cell>
          <cell r="E195">
            <v>47</v>
          </cell>
          <cell r="F195">
            <v>84</v>
          </cell>
          <cell r="G195">
            <v>37</v>
          </cell>
          <cell r="H195">
            <v>56</v>
          </cell>
          <cell r="I195">
            <v>100</v>
          </cell>
        </row>
        <row r="196">
          <cell r="B196" t="str">
            <v>ООС-0105-000373</v>
          </cell>
          <cell r="C196" t="str">
            <v>Шкаф А722К000</v>
          </cell>
          <cell r="D196">
            <v>36922</v>
          </cell>
          <cell r="E196">
            <v>47</v>
          </cell>
          <cell r="F196">
            <v>84</v>
          </cell>
          <cell r="G196">
            <v>37</v>
          </cell>
          <cell r="H196">
            <v>56</v>
          </cell>
          <cell r="I196">
            <v>100</v>
          </cell>
        </row>
        <row r="197">
          <cell r="B197" t="str">
            <v>ООС-0105-000374</v>
          </cell>
          <cell r="C197" t="str">
            <v>Шкаф А722К000</v>
          </cell>
          <cell r="D197">
            <v>36922</v>
          </cell>
          <cell r="E197">
            <v>47</v>
          </cell>
          <cell r="F197">
            <v>84</v>
          </cell>
          <cell r="G197">
            <v>37</v>
          </cell>
          <cell r="H197">
            <v>56</v>
          </cell>
          <cell r="I197">
            <v>100</v>
          </cell>
        </row>
        <row r="198">
          <cell r="B198" t="str">
            <v>ООС-0105-000426</v>
          </cell>
          <cell r="C198" t="str">
            <v>Сейф Айко 702</v>
          </cell>
          <cell r="D198">
            <v>36983</v>
          </cell>
          <cell r="E198">
            <v>45</v>
          </cell>
          <cell r="F198">
            <v>260</v>
          </cell>
          <cell r="G198">
            <v>215</v>
          </cell>
          <cell r="H198">
            <v>17</v>
          </cell>
          <cell r="I198">
            <v>75</v>
          </cell>
        </row>
        <row r="199">
          <cell r="B199" t="str">
            <v>ООС-0104-000104</v>
          </cell>
          <cell r="C199" t="str">
            <v>Сис. Блок Vei8</v>
          </cell>
          <cell r="D199">
            <v>36370</v>
          </cell>
          <cell r="E199">
            <v>65</v>
          </cell>
          <cell r="F199">
            <v>60</v>
          </cell>
          <cell r="G199">
            <v>0</v>
          </cell>
          <cell r="H199">
            <v>97</v>
          </cell>
          <cell r="I199">
            <v>75</v>
          </cell>
        </row>
        <row r="200">
          <cell r="B200" t="str">
            <v>ООС-0104-000158</v>
          </cell>
          <cell r="C200" t="str">
            <v>Рольставни А-55 ,1.875</v>
          </cell>
          <cell r="D200">
            <v>36515</v>
          </cell>
          <cell r="E200">
            <v>60</v>
          </cell>
          <cell r="F200">
            <v>36</v>
          </cell>
          <cell r="G200">
            <v>0</v>
          </cell>
          <cell r="H200">
            <v>97</v>
          </cell>
          <cell r="I200">
            <v>75</v>
          </cell>
        </row>
        <row r="201">
          <cell r="B201" t="str">
            <v>ООС-0104-000159</v>
          </cell>
          <cell r="C201" t="str">
            <v>Рольставни А-55 ,1.930</v>
          </cell>
          <cell r="D201">
            <v>36515</v>
          </cell>
          <cell r="E201">
            <v>60</v>
          </cell>
          <cell r="F201">
            <v>36</v>
          </cell>
          <cell r="G201">
            <v>0</v>
          </cell>
          <cell r="H201">
            <v>97</v>
          </cell>
          <cell r="I201">
            <v>75</v>
          </cell>
        </row>
        <row r="202">
          <cell r="B202" t="str">
            <v>ООС-0104-000163</v>
          </cell>
          <cell r="C202" t="str">
            <v>Сис. Блок vei8</v>
          </cell>
          <cell r="D202">
            <v>36518</v>
          </cell>
          <cell r="E202">
            <v>60</v>
          </cell>
          <cell r="F202">
            <v>60</v>
          </cell>
          <cell r="G202">
            <v>0</v>
          </cell>
          <cell r="H202">
            <v>97</v>
          </cell>
          <cell r="I202">
            <v>100</v>
          </cell>
        </row>
        <row r="203">
          <cell r="B203" t="str">
            <v>ООС-0104-000164</v>
          </cell>
          <cell r="C203" t="str">
            <v>Сис. Блок Vei7</v>
          </cell>
          <cell r="D203">
            <v>36518</v>
          </cell>
          <cell r="E203">
            <v>60</v>
          </cell>
          <cell r="F203">
            <v>60</v>
          </cell>
          <cell r="G203">
            <v>0</v>
          </cell>
          <cell r="H203">
            <v>97</v>
          </cell>
          <cell r="I203">
            <v>100</v>
          </cell>
        </row>
        <row r="204">
          <cell r="B204" t="str">
            <v>ООС-0104-000200</v>
          </cell>
          <cell r="C204" t="str">
            <v>Сис. Блок+монитор HPBas</v>
          </cell>
          <cell r="D204">
            <v>36622</v>
          </cell>
          <cell r="E204">
            <v>57</v>
          </cell>
          <cell r="F204">
            <v>60</v>
          </cell>
          <cell r="G204">
            <v>3</v>
          </cell>
          <cell r="H204">
            <v>95</v>
          </cell>
          <cell r="I204">
            <v>75</v>
          </cell>
        </row>
        <row r="205">
          <cell r="B205" t="str">
            <v>ООС-0104-000201</v>
          </cell>
          <cell r="C205" t="str">
            <v>Сис. Блок+мон.HPVSG655</v>
          </cell>
          <cell r="D205">
            <v>36622</v>
          </cell>
          <cell r="E205">
            <v>57</v>
          </cell>
          <cell r="F205">
            <v>60</v>
          </cell>
          <cell r="G205">
            <v>3</v>
          </cell>
          <cell r="H205">
            <v>95</v>
          </cell>
          <cell r="I205">
            <v>75</v>
          </cell>
        </row>
        <row r="206">
          <cell r="B206" t="str">
            <v>ООС-0104-000287</v>
          </cell>
          <cell r="C206" t="str">
            <v>Сис. Блок Vei7</v>
          </cell>
          <cell r="D206">
            <v>36710</v>
          </cell>
          <cell r="E206">
            <v>54</v>
          </cell>
          <cell r="F206">
            <v>60</v>
          </cell>
          <cell r="G206">
            <v>6</v>
          </cell>
          <cell r="H206">
            <v>90</v>
          </cell>
          <cell r="I206">
            <v>75</v>
          </cell>
        </row>
        <row r="207">
          <cell r="B207" t="str">
            <v>ООС-0104-000342</v>
          </cell>
          <cell r="C207" t="str">
            <v>Счетчик купюр Lauser700</v>
          </cell>
          <cell r="D207">
            <v>36831</v>
          </cell>
          <cell r="E207">
            <v>50</v>
          </cell>
          <cell r="F207">
            <v>60</v>
          </cell>
          <cell r="G207">
            <v>10</v>
          </cell>
          <cell r="H207">
            <v>83</v>
          </cell>
          <cell r="I207">
            <v>60</v>
          </cell>
        </row>
        <row r="208">
          <cell r="B208" t="str">
            <v>ООС-0104-000458</v>
          </cell>
          <cell r="C208" t="str">
            <v>Телеф.Panasonic KT-ST15</v>
          </cell>
          <cell r="D208">
            <v>37165</v>
          </cell>
          <cell r="E208">
            <v>39</v>
          </cell>
          <cell r="F208">
            <v>60</v>
          </cell>
          <cell r="G208">
            <v>21</v>
          </cell>
          <cell r="H208">
            <v>65</v>
          </cell>
          <cell r="I208">
            <v>100</v>
          </cell>
        </row>
        <row r="209">
          <cell r="B209" t="str">
            <v>ООС-0104-000549</v>
          </cell>
          <cell r="C209" t="str">
            <v>Принтер HPLJ4100N</v>
          </cell>
          <cell r="D209">
            <v>37316</v>
          </cell>
          <cell r="E209">
            <v>34</v>
          </cell>
          <cell r="F209">
            <v>60</v>
          </cell>
          <cell r="G209">
            <v>26</v>
          </cell>
          <cell r="H209">
            <v>57</v>
          </cell>
          <cell r="I209">
            <v>60</v>
          </cell>
        </row>
        <row r="210">
          <cell r="B210" t="str">
            <v>ООС-0104-000741</v>
          </cell>
          <cell r="C210" t="str">
            <v>Принтер HPLJ4050</v>
          </cell>
          <cell r="D210">
            <v>37622</v>
          </cell>
          <cell r="E210">
            <v>24</v>
          </cell>
          <cell r="F210">
            <v>60</v>
          </cell>
          <cell r="G210">
            <v>36</v>
          </cell>
          <cell r="H210">
            <v>40</v>
          </cell>
          <cell r="I210">
            <v>60</v>
          </cell>
        </row>
        <row r="211">
          <cell r="B211" t="str">
            <v>ООС-0104-000756</v>
          </cell>
          <cell r="C211" t="str">
            <v>Сис. Блок VI400</v>
          </cell>
          <cell r="D211">
            <v>37622</v>
          </cell>
          <cell r="E211">
            <v>24</v>
          </cell>
          <cell r="F211">
            <v>60</v>
          </cell>
          <cell r="G211">
            <v>36</v>
          </cell>
          <cell r="H211">
            <v>40</v>
          </cell>
          <cell r="I211">
            <v>60</v>
          </cell>
        </row>
        <row r="212">
          <cell r="B212" t="str">
            <v>ООС-0104-000845</v>
          </cell>
          <cell r="C212" t="str">
            <v>Сис. Блок VEI7</v>
          </cell>
          <cell r="D212">
            <v>37742</v>
          </cell>
          <cell r="E212">
            <v>20</v>
          </cell>
          <cell r="F212">
            <v>60</v>
          </cell>
          <cell r="G212">
            <v>40</v>
          </cell>
          <cell r="H212">
            <v>33</v>
          </cell>
          <cell r="I212">
            <v>60</v>
          </cell>
        </row>
        <row r="213">
          <cell r="B213" t="str">
            <v>ООС-0104-000847</v>
          </cell>
          <cell r="C213" t="str">
            <v>Сис. Блок VEi7</v>
          </cell>
          <cell r="D213">
            <v>37742</v>
          </cell>
          <cell r="E213">
            <v>20</v>
          </cell>
          <cell r="F213">
            <v>60</v>
          </cell>
          <cell r="G213">
            <v>40</v>
          </cell>
          <cell r="H213">
            <v>33</v>
          </cell>
          <cell r="I213">
            <v>60</v>
          </cell>
        </row>
        <row r="214">
          <cell r="B214" t="str">
            <v>ООС-0104-000848</v>
          </cell>
          <cell r="C214" t="str">
            <v>Сис. Блок Vei7</v>
          </cell>
          <cell r="D214">
            <v>37742</v>
          </cell>
          <cell r="E214">
            <v>20</v>
          </cell>
          <cell r="F214">
            <v>60</v>
          </cell>
          <cell r="G214">
            <v>40</v>
          </cell>
          <cell r="H214">
            <v>33</v>
          </cell>
          <cell r="I214">
            <v>60</v>
          </cell>
        </row>
        <row r="215">
          <cell r="B215" t="str">
            <v>ООС-0105-000499</v>
          </cell>
          <cell r="C215" t="str">
            <v>Моб. Архив Kasten</v>
          </cell>
          <cell r="D215">
            <v>37377</v>
          </cell>
          <cell r="E215">
            <v>32</v>
          </cell>
          <cell r="F215">
            <v>260</v>
          </cell>
          <cell r="G215">
            <v>228</v>
          </cell>
          <cell r="H215">
            <v>12</v>
          </cell>
          <cell r="I215">
            <v>50</v>
          </cell>
        </row>
        <row r="216">
          <cell r="B216" t="str">
            <v>ООС-0104-001042</v>
          </cell>
          <cell r="C216" t="str">
            <v>Сис. Блок HP D230m</v>
          </cell>
          <cell r="D216">
            <v>38244</v>
          </cell>
          <cell r="E216">
            <v>4</v>
          </cell>
          <cell r="F216">
            <v>60</v>
          </cell>
          <cell r="G216">
            <v>56</v>
          </cell>
          <cell r="H216">
            <v>7</v>
          </cell>
          <cell r="I216">
            <v>10</v>
          </cell>
        </row>
        <row r="217">
          <cell r="B217" t="str">
            <v>ООС-0104-001045</v>
          </cell>
          <cell r="C217" t="str">
            <v>Сис. Блок HP D230m</v>
          </cell>
          <cell r="D217">
            <v>38244</v>
          </cell>
          <cell r="E217">
            <v>4</v>
          </cell>
          <cell r="F217">
            <v>60</v>
          </cell>
          <cell r="G217">
            <v>56</v>
          </cell>
          <cell r="H217">
            <v>7</v>
          </cell>
          <cell r="I217">
            <v>10</v>
          </cell>
        </row>
        <row r="218">
          <cell r="B218" t="str">
            <v>ООС-0104-001047</v>
          </cell>
          <cell r="C218" t="str">
            <v>Сис. Блок HP D230m</v>
          </cell>
          <cell r="D218">
            <v>38244</v>
          </cell>
          <cell r="E218">
            <v>4</v>
          </cell>
          <cell r="F218">
            <v>60</v>
          </cell>
          <cell r="G218">
            <v>56</v>
          </cell>
          <cell r="H218">
            <v>7</v>
          </cell>
          <cell r="I218">
            <v>10</v>
          </cell>
        </row>
        <row r="219">
          <cell r="B219" t="str">
            <v>ООС-0104-001050</v>
          </cell>
          <cell r="C219" t="str">
            <v>Сис. Блок HP D230m</v>
          </cell>
          <cell r="D219">
            <v>38244</v>
          </cell>
          <cell r="E219">
            <v>4</v>
          </cell>
          <cell r="F219">
            <v>60</v>
          </cell>
          <cell r="G219">
            <v>56</v>
          </cell>
          <cell r="H219">
            <v>7</v>
          </cell>
          <cell r="I219">
            <v>10</v>
          </cell>
        </row>
        <row r="220">
          <cell r="B220" t="str">
            <v>ООС-0104-001052</v>
          </cell>
          <cell r="C220" t="str">
            <v>Сис. Блок HP D230m</v>
          </cell>
          <cell r="D220">
            <v>38244</v>
          </cell>
          <cell r="E220">
            <v>4</v>
          </cell>
          <cell r="F220">
            <v>60</v>
          </cell>
          <cell r="G220">
            <v>56</v>
          </cell>
          <cell r="H220">
            <v>7</v>
          </cell>
          <cell r="I220">
            <v>10</v>
          </cell>
        </row>
        <row r="221">
          <cell r="B221" t="str">
            <v>ООС-0104-001054</v>
          </cell>
          <cell r="C221" t="str">
            <v>Сис. Блок HP D230m</v>
          </cell>
          <cell r="D221">
            <v>38244</v>
          </cell>
          <cell r="E221">
            <v>4</v>
          </cell>
          <cell r="F221">
            <v>60</v>
          </cell>
          <cell r="G221">
            <v>56</v>
          </cell>
          <cell r="H221">
            <v>7</v>
          </cell>
          <cell r="I221">
            <v>10</v>
          </cell>
        </row>
        <row r="222">
          <cell r="B222" t="str">
            <v>ООС-0104-000449</v>
          </cell>
          <cell r="C222" t="str">
            <v>Телеф.Panasonic KT-ST15</v>
          </cell>
          <cell r="D222">
            <v>37165</v>
          </cell>
          <cell r="E222">
            <v>39</v>
          </cell>
          <cell r="F222">
            <v>60</v>
          </cell>
          <cell r="G222">
            <v>21</v>
          </cell>
          <cell r="H222">
            <v>65</v>
          </cell>
          <cell r="I222">
            <v>100</v>
          </cell>
        </row>
        <row r="223">
          <cell r="B223" t="str">
            <v>ООС-0105-000418</v>
          </cell>
          <cell r="C223" t="str">
            <v>Шкаф  А722К00</v>
          </cell>
          <cell r="D223">
            <v>36965</v>
          </cell>
          <cell r="E223">
            <v>46</v>
          </cell>
          <cell r="F223">
            <v>84</v>
          </cell>
          <cell r="G223">
            <v>38</v>
          </cell>
          <cell r="H223">
            <v>55</v>
          </cell>
          <cell r="I223">
            <v>100</v>
          </cell>
        </row>
        <row r="224">
          <cell r="B224" t="str">
            <v>ООС-0105-000419</v>
          </cell>
          <cell r="C224" t="str">
            <v>Шкаф  А722К00</v>
          </cell>
          <cell r="D224">
            <v>36965</v>
          </cell>
          <cell r="E224">
            <v>46</v>
          </cell>
          <cell r="F224">
            <v>84</v>
          </cell>
          <cell r="G224">
            <v>38</v>
          </cell>
          <cell r="H224">
            <v>55</v>
          </cell>
          <cell r="I224">
            <v>100</v>
          </cell>
        </row>
        <row r="225">
          <cell r="B225" t="str">
            <v>ООС-0105-000420</v>
          </cell>
          <cell r="C225" t="str">
            <v>Шкаф  А722К00</v>
          </cell>
          <cell r="D225">
            <v>36965</v>
          </cell>
          <cell r="E225">
            <v>46</v>
          </cell>
          <cell r="F225">
            <v>84</v>
          </cell>
          <cell r="G225">
            <v>38</v>
          </cell>
          <cell r="H225">
            <v>55</v>
          </cell>
          <cell r="I225">
            <v>100</v>
          </cell>
        </row>
        <row r="226">
          <cell r="B226" t="str">
            <v>ООС-0105-000422</v>
          </cell>
          <cell r="C226" t="str">
            <v>Сейф BS-T530</v>
          </cell>
          <cell r="D226">
            <v>36972</v>
          </cell>
          <cell r="E226">
            <v>45</v>
          </cell>
          <cell r="F226">
            <v>260</v>
          </cell>
          <cell r="G226">
            <v>215</v>
          </cell>
          <cell r="H226">
            <v>17</v>
          </cell>
          <cell r="I226">
            <v>100</v>
          </cell>
        </row>
        <row r="227">
          <cell r="B227" t="str">
            <v>ООС-0104-000286</v>
          </cell>
          <cell r="C227" t="str">
            <v>Сис. Блок VEi7</v>
          </cell>
          <cell r="D227">
            <v>36719</v>
          </cell>
          <cell r="E227">
            <v>54</v>
          </cell>
          <cell r="F227">
            <v>60</v>
          </cell>
          <cell r="G227">
            <v>6</v>
          </cell>
          <cell r="H227">
            <v>90</v>
          </cell>
          <cell r="I227">
            <v>75</v>
          </cell>
        </row>
        <row r="228">
          <cell r="B228" t="str">
            <v>ООС-0104-000297</v>
          </cell>
          <cell r="C228" t="str">
            <v>Принтер HP 4050N</v>
          </cell>
          <cell r="D228">
            <v>36708</v>
          </cell>
          <cell r="E228">
            <v>54</v>
          </cell>
          <cell r="F228">
            <v>60</v>
          </cell>
          <cell r="G228">
            <v>6</v>
          </cell>
          <cell r="H228">
            <v>90</v>
          </cell>
          <cell r="I228">
            <v>75</v>
          </cell>
        </row>
        <row r="229">
          <cell r="B229" t="str">
            <v>ООС-0104-000304</v>
          </cell>
          <cell r="C229" t="str">
            <v>Принтер HP 4050N</v>
          </cell>
          <cell r="D229">
            <v>36762</v>
          </cell>
          <cell r="E229">
            <v>52</v>
          </cell>
          <cell r="F229">
            <v>60</v>
          </cell>
          <cell r="G229">
            <v>8</v>
          </cell>
          <cell r="H229">
            <v>87</v>
          </cell>
          <cell r="I229">
            <v>75</v>
          </cell>
        </row>
        <row r="230">
          <cell r="B230" t="str">
            <v>ООС-0104-000305</v>
          </cell>
          <cell r="C230" t="str">
            <v>Сис. Блок VEi7</v>
          </cell>
          <cell r="D230">
            <v>36762</v>
          </cell>
          <cell r="E230">
            <v>52</v>
          </cell>
          <cell r="F230">
            <v>60</v>
          </cell>
          <cell r="G230">
            <v>8</v>
          </cell>
          <cell r="H230">
            <v>87</v>
          </cell>
          <cell r="I230">
            <v>75</v>
          </cell>
        </row>
        <row r="231">
          <cell r="B231" t="str">
            <v>ООС-0104-000324</v>
          </cell>
          <cell r="C231" t="str">
            <v>Холодильник Bosch3501</v>
          </cell>
          <cell r="D231">
            <v>36816</v>
          </cell>
          <cell r="E231">
            <v>51</v>
          </cell>
          <cell r="F231">
            <v>84</v>
          </cell>
          <cell r="G231">
            <v>33</v>
          </cell>
          <cell r="H231">
            <v>61</v>
          </cell>
          <cell r="I231">
            <v>60</v>
          </cell>
        </row>
        <row r="232">
          <cell r="B232" t="str">
            <v>ООС-0104-000408</v>
          </cell>
          <cell r="C232" t="str">
            <v>Тележка SC9</v>
          </cell>
          <cell r="D232">
            <v>36923</v>
          </cell>
          <cell r="E232">
            <v>47</v>
          </cell>
          <cell r="F232">
            <v>60</v>
          </cell>
          <cell r="G232">
            <v>13</v>
          </cell>
          <cell r="H232">
            <v>78</v>
          </cell>
          <cell r="I232">
            <v>100</v>
          </cell>
        </row>
        <row r="233">
          <cell r="B233" t="str">
            <v>ООС-0104-000421</v>
          </cell>
          <cell r="C233" t="str">
            <v>Стремянка 8-ти ступ.</v>
          </cell>
          <cell r="D233">
            <v>36951</v>
          </cell>
          <cell r="E233">
            <v>46</v>
          </cell>
          <cell r="F233">
            <v>60</v>
          </cell>
          <cell r="G233">
            <v>14</v>
          </cell>
          <cell r="H233">
            <v>77</v>
          </cell>
          <cell r="I233">
            <v>100</v>
          </cell>
        </row>
        <row r="234">
          <cell r="B234" t="str">
            <v>ООС-0104-000116</v>
          </cell>
          <cell r="C234" t="str">
            <v>Снегоочиститель CCR3000</v>
          </cell>
          <cell r="D234">
            <v>36464</v>
          </cell>
          <cell r="E234">
            <v>62</v>
          </cell>
          <cell r="F234">
            <v>120</v>
          </cell>
          <cell r="G234">
            <v>58</v>
          </cell>
          <cell r="H234">
            <v>52</v>
          </cell>
          <cell r="I234">
            <v>75</v>
          </cell>
        </row>
        <row r="235">
          <cell r="B235" t="str">
            <v>ООС-0104-000157</v>
          </cell>
          <cell r="C235" t="str">
            <v>БатарейкаB UPS9000</v>
          </cell>
          <cell r="D235">
            <v>36495</v>
          </cell>
          <cell r="E235">
            <v>61</v>
          </cell>
          <cell r="F235">
            <v>60</v>
          </cell>
          <cell r="G235">
            <v>0</v>
          </cell>
          <cell r="H235">
            <v>97</v>
          </cell>
          <cell r="I235">
            <v>100</v>
          </cell>
        </row>
        <row r="236">
          <cell r="B236" t="str">
            <v>ООС-0104-000331</v>
          </cell>
          <cell r="C236" t="str">
            <v>Электрокалорифер КЭ</v>
          </cell>
          <cell r="D236">
            <v>36846</v>
          </cell>
          <cell r="E236">
            <v>50</v>
          </cell>
          <cell r="F236">
            <v>84</v>
          </cell>
          <cell r="G236">
            <v>34</v>
          </cell>
          <cell r="H236">
            <v>60</v>
          </cell>
          <cell r="I236">
            <v>75</v>
          </cell>
        </row>
        <row r="237">
          <cell r="B237" t="str">
            <v>ООС-0104-000614</v>
          </cell>
          <cell r="C237" t="str">
            <v>Частотный преобразов.</v>
          </cell>
          <cell r="D237">
            <v>37500</v>
          </cell>
          <cell r="E237">
            <v>28</v>
          </cell>
          <cell r="F237">
            <v>84</v>
          </cell>
          <cell r="G237">
            <v>56</v>
          </cell>
          <cell r="H237">
            <v>33</v>
          </cell>
          <cell r="I237">
            <v>30</v>
          </cell>
        </row>
        <row r="238">
          <cell r="B238" t="str">
            <v>ООС-0104-000765</v>
          </cell>
          <cell r="C238" t="str">
            <v xml:space="preserve">Холодильная установка </v>
          </cell>
          <cell r="D238">
            <v>37653</v>
          </cell>
          <cell r="E238">
            <v>23</v>
          </cell>
          <cell r="F238">
            <v>84</v>
          </cell>
          <cell r="G238">
            <v>61</v>
          </cell>
          <cell r="H238">
            <v>27</v>
          </cell>
          <cell r="I238">
            <v>30</v>
          </cell>
        </row>
        <row r="239">
          <cell r="B239" t="str">
            <v>ООС-0104-000179</v>
          </cell>
          <cell r="C239" t="str">
            <v>Командный пульт</v>
          </cell>
          <cell r="D239">
            <v>36605</v>
          </cell>
          <cell r="E239">
            <v>57</v>
          </cell>
          <cell r="F239">
            <v>84</v>
          </cell>
          <cell r="G239">
            <v>27</v>
          </cell>
          <cell r="H239">
            <v>68</v>
          </cell>
          <cell r="I239">
            <v>60</v>
          </cell>
        </row>
        <row r="240">
          <cell r="B240" t="str">
            <v>ООС-0104-000220</v>
          </cell>
          <cell r="C240" t="str">
            <v>Радиостанция GP320</v>
          </cell>
          <cell r="D240">
            <v>36672</v>
          </cell>
          <cell r="E240">
            <v>55</v>
          </cell>
          <cell r="F240">
            <v>60</v>
          </cell>
          <cell r="G240">
            <v>5</v>
          </cell>
          <cell r="H240">
            <v>92</v>
          </cell>
          <cell r="I240">
            <v>60</v>
          </cell>
        </row>
        <row r="241">
          <cell r="B241" t="str">
            <v>ООС-0104-000221</v>
          </cell>
          <cell r="C241" t="str">
            <v>Радиостанция GP320</v>
          </cell>
          <cell r="D241">
            <v>36672</v>
          </cell>
          <cell r="E241">
            <v>55</v>
          </cell>
          <cell r="F241">
            <v>60</v>
          </cell>
          <cell r="G241">
            <v>5</v>
          </cell>
          <cell r="H241">
            <v>92</v>
          </cell>
          <cell r="I241">
            <v>60</v>
          </cell>
        </row>
        <row r="242">
          <cell r="B242" t="str">
            <v>ООС-0104-000768</v>
          </cell>
          <cell r="C242" t="str">
            <v>Тепловая завеса</v>
          </cell>
          <cell r="D242">
            <v>37653</v>
          </cell>
          <cell r="E242">
            <v>23</v>
          </cell>
          <cell r="F242">
            <v>84</v>
          </cell>
          <cell r="G242">
            <v>61</v>
          </cell>
          <cell r="H242">
            <v>27</v>
          </cell>
          <cell r="I242">
            <v>30</v>
          </cell>
        </row>
        <row r="243">
          <cell r="B243" t="str">
            <v>ООС-0104-000791</v>
          </cell>
          <cell r="C243" t="str">
            <v>Сис. Блок+монит. VL400</v>
          </cell>
          <cell r="D243">
            <v>37741</v>
          </cell>
          <cell r="E243">
            <v>20</v>
          </cell>
          <cell r="F243">
            <v>60</v>
          </cell>
          <cell r="G243">
            <v>40</v>
          </cell>
          <cell r="H243">
            <v>33</v>
          </cell>
          <cell r="I243">
            <v>15</v>
          </cell>
        </row>
        <row r="244">
          <cell r="B244" t="str">
            <v>ООС-0106-000453</v>
          </cell>
          <cell r="C244" t="str">
            <v>Автомобиль ВАЗ-21043</v>
          </cell>
          <cell r="D244">
            <v>37561</v>
          </cell>
          <cell r="E244">
            <v>26</v>
          </cell>
          <cell r="G244">
            <v>0</v>
          </cell>
          <cell r="H244">
            <v>97</v>
          </cell>
          <cell r="I244">
            <v>60</v>
          </cell>
        </row>
        <row r="245">
          <cell r="B245" t="str">
            <v>ООС-0105-000046</v>
          </cell>
          <cell r="C245" t="str">
            <v xml:space="preserve">Шкаф 2-х дверный </v>
          </cell>
          <cell r="D245">
            <v>36146</v>
          </cell>
          <cell r="E245">
            <v>73</v>
          </cell>
          <cell r="F245">
            <v>84</v>
          </cell>
          <cell r="G245">
            <v>11</v>
          </cell>
          <cell r="H245">
            <v>87</v>
          </cell>
          <cell r="I245">
            <v>100</v>
          </cell>
        </row>
        <row r="246">
          <cell r="B246" t="str">
            <v>ООС-0105-000047</v>
          </cell>
          <cell r="C246" t="str">
            <v xml:space="preserve">Шкаф 2-х дверный </v>
          </cell>
          <cell r="D246">
            <v>36146</v>
          </cell>
          <cell r="E246">
            <v>73</v>
          </cell>
          <cell r="F246">
            <v>84</v>
          </cell>
          <cell r="G246">
            <v>11</v>
          </cell>
          <cell r="H246">
            <v>87</v>
          </cell>
          <cell r="I246">
            <v>100</v>
          </cell>
        </row>
        <row r="247">
          <cell r="B247" t="str">
            <v>ООС-0105-000048</v>
          </cell>
          <cell r="C247" t="str">
            <v xml:space="preserve">Шкаф 2-х дверный </v>
          </cell>
          <cell r="D247">
            <v>36146</v>
          </cell>
          <cell r="E247">
            <v>73</v>
          </cell>
          <cell r="F247">
            <v>84</v>
          </cell>
          <cell r="G247">
            <v>11</v>
          </cell>
          <cell r="H247">
            <v>87</v>
          </cell>
          <cell r="I247">
            <v>100</v>
          </cell>
        </row>
        <row r="248">
          <cell r="B248" t="str">
            <v>ООС-0105-000049</v>
          </cell>
          <cell r="C248" t="str">
            <v xml:space="preserve">Шкаф 2-х дверный </v>
          </cell>
          <cell r="D248">
            <v>36146</v>
          </cell>
          <cell r="E248">
            <v>73</v>
          </cell>
          <cell r="F248">
            <v>84</v>
          </cell>
          <cell r="G248">
            <v>11</v>
          </cell>
          <cell r="H248">
            <v>87</v>
          </cell>
          <cell r="I248">
            <v>100</v>
          </cell>
        </row>
        <row r="249">
          <cell r="B249" t="str">
            <v>ООС-0105-000050</v>
          </cell>
          <cell r="C249" t="str">
            <v xml:space="preserve">Шкаф 2-х дверный </v>
          </cell>
          <cell r="D249">
            <v>36146</v>
          </cell>
          <cell r="E249">
            <v>73</v>
          </cell>
          <cell r="F249">
            <v>84</v>
          </cell>
          <cell r="G249">
            <v>11</v>
          </cell>
          <cell r="H249">
            <v>87</v>
          </cell>
          <cell r="I249">
            <v>100</v>
          </cell>
        </row>
        <row r="250">
          <cell r="B250" t="str">
            <v>ООС-0105-000051</v>
          </cell>
          <cell r="C250" t="str">
            <v xml:space="preserve">Шкаф 2-х дверный </v>
          </cell>
          <cell r="D250">
            <v>36146</v>
          </cell>
          <cell r="E250">
            <v>73</v>
          </cell>
          <cell r="F250">
            <v>84</v>
          </cell>
          <cell r="G250">
            <v>11</v>
          </cell>
          <cell r="H250">
            <v>87</v>
          </cell>
          <cell r="I250">
            <v>100</v>
          </cell>
        </row>
        <row r="251">
          <cell r="B251" t="str">
            <v>ООС-0105-000052</v>
          </cell>
          <cell r="C251" t="str">
            <v xml:space="preserve">Шкаф 2-х дверный </v>
          </cell>
          <cell r="D251">
            <v>36146</v>
          </cell>
          <cell r="E251">
            <v>73</v>
          </cell>
          <cell r="F251">
            <v>84</v>
          </cell>
          <cell r="G251">
            <v>11</v>
          </cell>
          <cell r="H251">
            <v>87</v>
          </cell>
          <cell r="I251">
            <v>100</v>
          </cell>
        </row>
        <row r="252">
          <cell r="B252" t="str">
            <v>ООС-0105-000053</v>
          </cell>
          <cell r="C252" t="str">
            <v xml:space="preserve">Шкаф 2-х дверный </v>
          </cell>
          <cell r="D252">
            <v>36146</v>
          </cell>
          <cell r="E252">
            <v>73</v>
          </cell>
          <cell r="F252">
            <v>84</v>
          </cell>
          <cell r="G252">
            <v>11</v>
          </cell>
          <cell r="H252">
            <v>87</v>
          </cell>
          <cell r="I252">
            <v>100</v>
          </cell>
        </row>
        <row r="253">
          <cell r="B253" t="str">
            <v>ООС-0105-000054</v>
          </cell>
          <cell r="C253" t="str">
            <v xml:space="preserve">Шкаф 2-х дверный </v>
          </cell>
          <cell r="D253">
            <v>36146</v>
          </cell>
          <cell r="E253">
            <v>73</v>
          </cell>
          <cell r="F253">
            <v>84</v>
          </cell>
          <cell r="G253">
            <v>11</v>
          </cell>
          <cell r="H253">
            <v>87</v>
          </cell>
          <cell r="I253">
            <v>100</v>
          </cell>
        </row>
        <row r="254">
          <cell r="B254" t="str">
            <v>ООС-0105-000055</v>
          </cell>
          <cell r="C254" t="str">
            <v xml:space="preserve">Шкаф 2-х дверный </v>
          </cell>
          <cell r="D254">
            <v>36146</v>
          </cell>
          <cell r="E254">
            <v>73</v>
          </cell>
          <cell r="F254">
            <v>84</v>
          </cell>
          <cell r="G254">
            <v>11</v>
          </cell>
          <cell r="H254">
            <v>87</v>
          </cell>
          <cell r="I254">
            <v>100</v>
          </cell>
        </row>
        <row r="255">
          <cell r="B255" t="str">
            <v>ООС-0105-000056</v>
          </cell>
          <cell r="C255" t="str">
            <v xml:space="preserve">Шкаф 2-х дверный </v>
          </cell>
          <cell r="D255">
            <v>36146</v>
          </cell>
          <cell r="E255">
            <v>73</v>
          </cell>
          <cell r="F255">
            <v>84</v>
          </cell>
          <cell r="G255">
            <v>11</v>
          </cell>
          <cell r="H255">
            <v>87</v>
          </cell>
          <cell r="I255">
            <v>100</v>
          </cell>
        </row>
        <row r="256">
          <cell r="B256" t="str">
            <v>ООС-0105-000057</v>
          </cell>
          <cell r="C256" t="str">
            <v xml:space="preserve">Шкаф 2-х дверный </v>
          </cell>
          <cell r="D256">
            <v>36146</v>
          </cell>
          <cell r="E256">
            <v>73</v>
          </cell>
          <cell r="F256">
            <v>84</v>
          </cell>
          <cell r="G256">
            <v>11</v>
          </cell>
          <cell r="H256">
            <v>87</v>
          </cell>
          <cell r="I256">
            <v>100</v>
          </cell>
        </row>
        <row r="257">
          <cell r="B257" t="str">
            <v>ООС-0105-000058</v>
          </cell>
          <cell r="C257" t="str">
            <v xml:space="preserve">Шкаф 2-х дверный </v>
          </cell>
          <cell r="D257">
            <v>36146</v>
          </cell>
          <cell r="E257">
            <v>73</v>
          </cell>
          <cell r="F257">
            <v>84</v>
          </cell>
          <cell r="G257">
            <v>11</v>
          </cell>
          <cell r="H257">
            <v>87</v>
          </cell>
          <cell r="I257">
            <v>100</v>
          </cell>
        </row>
        <row r="258">
          <cell r="B258" t="str">
            <v>ООС-0105-000059</v>
          </cell>
          <cell r="C258" t="str">
            <v xml:space="preserve">Шкаф 2-х дверный </v>
          </cell>
          <cell r="D258">
            <v>36146</v>
          </cell>
          <cell r="E258">
            <v>73</v>
          </cell>
          <cell r="F258">
            <v>84</v>
          </cell>
          <cell r="G258">
            <v>11</v>
          </cell>
          <cell r="H258">
            <v>87</v>
          </cell>
          <cell r="I258">
            <v>100</v>
          </cell>
        </row>
        <row r="259">
          <cell r="B259" t="str">
            <v>ООС-0105-000060</v>
          </cell>
          <cell r="C259" t="str">
            <v xml:space="preserve">Шкаф 2-х дверный </v>
          </cell>
          <cell r="D259">
            <v>36146</v>
          </cell>
          <cell r="E259">
            <v>73</v>
          </cell>
          <cell r="F259">
            <v>84</v>
          </cell>
          <cell r="G259">
            <v>11</v>
          </cell>
          <cell r="H259">
            <v>87</v>
          </cell>
          <cell r="I259">
            <v>100</v>
          </cell>
        </row>
        <row r="260">
          <cell r="B260" t="str">
            <v>ООС-0105-000061</v>
          </cell>
          <cell r="C260" t="str">
            <v xml:space="preserve">Шкаф 2-х дверный </v>
          </cell>
          <cell r="D260">
            <v>36146</v>
          </cell>
          <cell r="E260">
            <v>73</v>
          </cell>
          <cell r="F260">
            <v>84</v>
          </cell>
          <cell r="G260">
            <v>11</v>
          </cell>
          <cell r="H260">
            <v>87</v>
          </cell>
          <cell r="I260">
            <v>100</v>
          </cell>
        </row>
        <row r="261">
          <cell r="B261" t="str">
            <v>ООС-0105-000062</v>
          </cell>
          <cell r="C261" t="str">
            <v xml:space="preserve">Шкаф 2-х дверный </v>
          </cell>
          <cell r="D261">
            <v>36146</v>
          </cell>
          <cell r="E261">
            <v>73</v>
          </cell>
          <cell r="F261">
            <v>84</v>
          </cell>
          <cell r="G261">
            <v>11</v>
          </cell>
          <cell r="H261">
            <v>87</v>
          </cell>
          <cell r="I261">
            <v>100</v>
          </cell>
        </row>
        <row r="262">
          <cell r="B262" t="str">
            <v>ООС-0105-000063</v>
          </cell>
          <cell r="C262" t="str">
            <v xml:space="preserve">Шкаф 2-х дверный </v>
          </cell>
          <cell r="D262">
            <v>36146</v>
          </cell>
          <cell r="E262">
            <v>73</v>
          </cell>
          <cell r="F262">
            <v>84</v>
          </cell>
          <cell r="G262">
            <v>11</v>
          </cell>
          <cell r="H262">
            <v>87</v>
          </cell>
          <cell r="I262">
            <v>100</v>
          </cell>
        </row>
        <row r="263">
          <cell r="B263" t="str">
            <v>ООС-0105-000064</v>
          </cell>
          <cell r="C263" t="str">
            <v xml:space="preserve">Шкаф 2-х дверный </v>
          </cell>
          <cell r="D263">
            <v>36146</v>
          </cell>
          <cell r="E263">
            <v>73</v>
          </cell>
          <cell r="F263">
            <v>84</v>
          </cell>
          <cell r="G263">
            <v>11</v>
          </cell>
          <cell r="H263">
            <v>87</v>
          </cell>
          <cell r="I263">
            <v>100</v>
          </cell>
        </row>
        <row r="264">
          <cell r="B264" t="str">
            <v>ООС-0104-001063</v>
          </cell>
          <cell r="C264" t="str">
            <v>Сис. Блок 2.8/512Mb</v>
          </cell>
          <cell r="D264">
            <v>38257</v>
          </cell>
          <cell r="E264">
            <v>3</v>
          </cell>
          <cell r="F264">
            <v>60</v>
          </cell>
          <cell r="G264">
            <v>57</v>
          </cell>
          <cell r="H264">
            <v>5</v>
          </cell>
          <cell r="I264">
            <v>10</v>
          </cell>
        </row>
        <row r="265">
          <cell r="B265" t="str">
            <v>ООС-0104-001064</v>
          </cell>
          <cell r="C265" t="str">
            <v>Монитор VS+VX900</v>
          </cell>
          <cell r="D265">
            <v>38257</v>
          </cell>
          <cell r="E265">
            <v>3</v>
          </cell>
          <cell r="F265">
            <v>60</v>
          </cell>
          <cell r="G265">
            <v>57</v>
          </cell>
          <cell r="H265">
            <v>5</v>
          </cell>
          <cell r="I265">
            <v>10</v>
          </cell>
        </row>
        <row r="266">
          <cell r="B266" t="str">
            <v>ООС-0104-001065</v>
          </cell>
          <cell r="C266" t="str">
            <v>Сис. Блок 2.8/512Mb</v>
          </cell>
          <cell r="D266">
            <v>38257</v>
          </cell>
          <cell r="E266">
            <v>3</v>
          </cell>
          <cell r="F266">
            <v>60</v>
          </cell>
          <cell r="G266">
            <v>57</v>
          </cell>
          <cell r="H266">
            <v>5</v>
          </cell>
          <cell r="I266">
            <v>10</v>
          </cell>
        </row>
        <row r="267">
          <cell r="B267" t="str">
            <v>ООС-0104-001066</v>
          </cell>
          <cell r="C267" t="str">
            <v>Монитор VS+VX900</v>
          </cell>
          <cell r="D267">
            <v>38257</v>
          </cell>
          <cell r="E267">
            <v>3</v>
          </cell>
          <cell r="F267">
            <v>60</v>
          </cell>
          <cell r="G267">
            <v>57</v>
          </cell>
          <cell r="H267">
            <v>5</v>
          </cell>
          <cell r="I267">
            <v>10</v>
          </cell>
        </row>
        <row r="268">
          <cell r="B268" t="str">
            <v>ООС-0104-001067</v>
          </cell>
          <cell r="C268" t="str">
            <v>Сис. Блок 2.8/512Mb</v>
          </cell>
          <cell r="D268">
            <v>38257</v>
          </cell>
          <cell r="E268">
            <v>3</v>
          </cell>
          <cell r="F268">
            <v>60</v>
          </cell>
          <cell r="G268">
            <v>57</v>
          </cell>
          <cell r="H268">
            <v>5</v>
          </cell>
          <cell r="I268">
            <v>10</v>
          </cell>
        </row>
        <row r="269">
          <cell r="B269" t="str">
            <v>ООС-0104-001068</v>
          </cell>
          <cell r="C269" t="str">
            <v>Монитор VS+VX900</v>
          </cell>
          <cell r="D269">
            <v>38257</v>
          </cell>
          <cell r="E269">
            <v>3</v>
          </cell>
          <cell r="F269">
            <v>60</v>
          </cell>
          <cell r="G269">
            <v>57</v>
          </cell>
          <cell r="H269">
            <v>5</v>
          </cell>
          <cell r="I269">
            <v>10</v>
          </cell>
        </row>
        <row r="270">
          <cell r="B270" t="str">
            <v>ООС-0104-000113</v>
          </cell>
          <cell r="C270" t="str">
            <v>Сис. Блок VEi8</v>
          </cell>
          <cell r="D270">
            <v>36433</v>
          </cell>
          <cell r="E270">
            <v>63</v>
          </cell>
          <cell r="F270">
            <v>60</v>
          </cell>
          <cell r="G270">
            <v>0</v>
          </cell>
          <cell r="H270">
            <v>97</v>
          </cell>
          <cell r="I270">
            <v>100</v>
          </cell>
        </row>
        <row r="271">
          <cell r="B271" t="str">
            <v>ООС-0104-000114</v>
          </cell>
          <cell r="C271" t="str">
            <v>Сис. Блок VEi7</v>
          </cell>
          <cell r="D271">
            <v>36433</v>
          </cell>
          <cell r="E271">
            <v>63</v>
          </cell>
          <cell r="F271">
            <v>60</v>
          </cell>
          <cell r="G271">
            <v>0</v>
          </cell>
          <cell r="H271">
            <v>97</v>
          </cell>
          <cell r="I271">
            <v>100</v>
          </cell>
        </row>
        <row r="272">
          <cell r="B272" t="str">
            <v>ООС-0104-000115</v>
          </cell>
          <cell r="C272" t="str">
            <v>Сис. Блок VEi7</v>
          </cell>
          <cell r="D272">
            <v>36433</v>
          </cell>
          <cell r="E272">
            <v>63</v>
          </cell>
          <cell r="F272">
            <v>60</v>
          </cell>
          <cell r="G272">
            <v>0</v>
          </cell>
          <cell r="H272">
            <v>97</v>
          </cell>
          <cell r="I272">
            <v>100</v>
          </cell>
        </row>
        <row r="273">
          <cell r="B273" t="str">
            <v>ООС-0104-000121</v>
          </cell>
          <cell r="C273" t="str">
            <v>Ноутбук Satell 4030CDT</v>
          </cell>
          <cell r="D273">
            <v>36469</v>
          </cell>
          <cell r="E273">
            <v>62</v>
          </cell>
          <cell r="F273">
            <v>60</v>
          </cell>
          <cell r="G273">
            <v>0</v>
          </cell>
          <cell r="H273">
            <v>97</v>
          </cell>
          <cell r="I273">
            <v>100</v>
          </cell>
        </row>
        <row r="274">
          <cell r="B274" t="str">
            <v>ООС-0104-000175</v>
          </cell>
          <cell r="C274" t="str">
            <v>Ноутбук Satell 2100CDT</v>
          </cell>
          <cell r="D274">
            <v>36586</v>
          </cell>
          <cell r="E274">
            <v>58</v>
          </cell>
          <cell r="F274">
            <v>60</v>
          </cell>
          <cell r="G274">
            <v>2</v>
          </cell>
          <cell r="H274">
            <v>97</v>
          </cell>
          <cell r="I274">
            <v>75</v>
          </cell>
        </row>
        <row r="275">
          <cell r="B275" t="str">
            <v>ООС-0104-000176</v>
          </cell>
          <cell r="C275" t="str">
            <v>Ноутбук Tochiba IC 800</v>
          </cell>
          <cell r="D275">
            <v>36586</v>
          </cell>
          <cell r="E275">
            <v>58</v>
          </cell>
          <cell r="F275">
            <v>60</v>
          </cell>
          <cell r="G275">
            <v>2</v>
          </cell>
          <cell r="H275">
            <v>97</v>
          </cell>
          <cell r="I275">
            <v>75</v>
          </cell>
        </row>
        <row r="276">
          <cell r="B276" t="str">
            <v>ООС-0104-000177</v>
          </cell>
          <cell r="C276" t="str">
            <v>Ноутбук Tochiba1800-S203</v>
          </cell>
          <cell r="D276">
            <v>36586</v>
          </cell>
          <cell r="E276">
            <v>58</v>
          </cell>
          <cell r="F276">
            <v>60</v>
          </cell>
          <cell r="G276">
            <v>2</v>
          </cell>
          <cell r="H276">
            <v>97</v>
          </cell>
          <cell r="I276">
            <v>75</v>
          </cell>
        </row>
        <row r="277">
          <cell r="B277" t="str">
            <v>ООС-0104-000178</v>
          </cell>
          <cell r="C277" t="str">
            <v>Ноутбук Tochiba1800-S203</v>
          </cell>
          <cell r="D277">
            <v>36586</v>
          </cell>
          <cell r="E277">
            <v>58</v>
          </cell>
          <cell r="F277">
            <v>60</v>
          </cell>
          <cell r="G277">
            <v>2</v>
          </cell>
          <cell r="H277">
            <v>97</v>
          </cell>
          <cell r="I277">
            <v>75</v>
          </cell>
        </row>
        <row r="278">
          <cell r="B278" t="str">
            <v>ООС-0104-000198</v>
          </cell>
          <cell r="C278" t="str">
            <v>Сис. Блок+мон. VS P655N</v>
          </cell>
          <cell r="D278">
            <v>36622</v>
          </cell>
          <cell r="E278">
            <v>57</v>
          </cell>
          <cell r="F278">
            <v>60</v>
          </cell>
          <cell r="G278">
            <v>3</v>
          </cell>
          <cell r="H278">
            <v>95</v>
          </cell>
          <cell r="I278">
            <v>75</v>
          </cell>
        </row>
        <row r="279">
          <cell r="B279" t="str">
            <v>ООС-0104-000199</v>
          </cell>
          <cell r="C279" t="str">
            <v>Сис. Блок+мон. ADI ALF</v>
          </cell>
          <cell r="D279">
            <v>36622</v>
          </cell>
          <cell r="E279">
            <v>57</v>
          </cell>
          <cell r="F279">
            <v>60</v>
          </cell>
          <cell r="G279">
            <v>3</v>
          </cell>
          <cell r="H279">
            <v>95</v>
          </cell>
          <cell r="I279">
            <v>75</v>
          </cell>
        </row>
        <row r="280">
          <cell r="B280" t="str">
            <v>ООС-0104-000204</v>
          </cell>
          <cell r="C280" t="str">
            <v>Сис. Блок Vei7</v>
          </cell>
          <cell r="D280">
            <v>36636</v>
          </cell>
          <cell r="E280">
            <v>56</v>
          </cell>
          <cell r="F280">
            <v>60</v>
          </cell>
          <cell r="G280">
            <v>4</v>
          </cell>
          <cell r="H280">
            <v>93</v>
          </cell>
          <cell r="I280">
            <v>75</v>
          </cell>
        </row>
        <row r="281">
          <cell r="B281" t="str">
            <v>ООС-0104-000205</v>
          </cell>
          <cell r="C281" t="str">
            <v>Сис. Блок Vei7</v>
          </cell>
          <cell r="D281">
            <v>36636</v>
          </cell>
          <cell r="E281">
            <v>56</v>
          </cell>
          <cell r="F281">
            <v>60</v>
          </cell>
          <cell r="G281">
            <v>4</v>
          </cell>
          <cell r="H281">
            <v>93</v>
          </cell>
          <cell r="I281">
            <v>75</v>
          </cell>
        </row>
        <row r="282">
          <cell r="B282" t="str">
            <v>ООС-0104-000206</v>
          </cell>
          <cell r="C282" t="str">
            <v>Сис. Блок Vei7</v>
          </cell>
          <cell r="D282">
            <v>36636</v>
          </cell>
          <cell r="E282">
            <v>56</v>
          </cell>
          <cell r="F282">
            <v>60</v>
          </cell>
          <cell r="G282">
            <v>4</v>
          </cell>
          <cell r="H282">
            <v>93</v>
          </cell>
          <cell r="I282">
            <v>75</v>
          </cell>
        </row>
        <row r="283">
          <cell r="B283" t="str">
            <v>ООС-0104-000207</v>
          </cell>
          <cell r="C283" t="str">
            <v>Сис. Блок Vei7</v>
          </cell>
          <cell r="D283">
            <v>36636</v>
          </cell>
          <cell r="E283">
            <v>56</v>
          </cell>
          <cell r="F283">
            <v>60</v>
          </cell>
          <cell r="G283">
            <v>4</v>
          </cell>
          <cell r="H283">
            <v>93</v>
          </cell>
          <cell r="I283">
            <v>75</v>
          </cell>
        </row>
        <row r="284">
          <cell r="B284" t="str">
            <v>ООС-0104-000208</v>
          </cell>
          <cell r="C284" t="str">
            <v>Сис. Блок Vei7</v>
          </cell>
          <cell r="D284">
            <v>36636</v>
          </cell>
          <cell r="E284">
            <v>56</v>
          </cell>
          <cell r="F284">
            <v>60</v>
          </cell>
          <cell r="G284">
            <v>4</v>
          </cell>
          <cell r="H284">
            <v>93</v>
          </cell>
          <cell r="I284">
            <v>75</v>
          </cell>
        </row>
        <row r="285">
          <cell r="B285" t="str">
            <v>ООС-0104-000209</v>
          </cell>
          <cell r="C285" t="str">
            <v>Сис. Блок Vei7</v>
          </cell>
          <cell r="D285">
            <v>36636</v>
          </cell>
          <cell r="E285">
            <v>56</v>
          </cell>
          <cell r="F285">
            <v>60</v>
          </cell>
          <cell r="G285">
            <v>4</v>
          </cell>
          <cell r="H285">
            <v>93</v>
          </cell>
          <cell r="I285">
            <v>75</v>
          </cell>
        </row>
        <row r="286">
          <cell r="B286" t="str">
            <v>ООС-0104-000210</v>
          </cell>
          <cell r="C286" t="str">
            <v>Сис. Блок Vei7</v>
          </cell>
          <cell r="D286">
            <v>36636</v>
          </cell>
          <cell r="E286">
            <v>56</v>
          </cell>
          <cell r="F286">
            <v>60</v>
          </cell>
          <cell r="G286">
            <v>4</v>
          </cell>
          <cell r="H286">
            <v>93</v>
          </cell>
          <cell r="I286">
            <v>75</v>
          </cell>
        </row>
        <row r="287">
          <cell r="B287" t="str">
            <v>ООС-0104-000211</v>
          </cell>
          <cell r="C287" t="str">
            <v>Сис. Блок Vei7</v>
          </cell>
          <cell r="D287">
            <v>36636</v>
          </cell>
          <cell r="E287">
            <v>56</v>
          </cell>
          <cell r="F287">
            <v>60</v>
          </cell>
          <cell r="G287">
            <v>4</v>
          </cell>
          <cell r="H287">
            <v>93</v>
          </cell>
          <cell r="I287">
            <v>75</v>
          </cell>
        </row>
        <row r="288">
          <cell r="B288" t="str">
            <v>ООС-0104-000327</v>
          </cell>
          <cell r="C288" t="str">
            <v>Сис. Блок HP VEi7</v>
          </cell>
          <cell r="D288">
            <v>36808</v>
          </cell>
          <cell r="E288">
            <v>51</v>
          </cell>
          <cell r="F288">
            <v>60</v>
          </cell>
          <cell r="G288">
            <v>9</v>
          </cell>
          <cell r="H288">
            <v>85</v>
          </cell>
          <cell r="I288">
            <v>75</v>
          </cell>
        </row>
        <row r="289">
          <cell r="B289" t="str">
            <v>ООС-0104-000328</v>
          </cell>
          <cell r="C289" t="str">
            <v>Сис.блок+монит. HPD8897</v>
          </cell>
          <cell r="D289">
            <v>36809</v>
          </cell>
          <cell r="E289">
            <v>51</v>
          </cell>
          <cell r="F289">
            <v>60</v>
          </cell>
          <cell r="G289">
            <v>9</v>
          </cell>
          <cell r="H289">
            <v>85</v>
          </cell>
          <cell r="I289">
            <v>75</v>
          </cell>
        </row>
        <row r="290">
          <cell r="B290" t="str">
            <v>ООС-0104-000329</v>
          </cell>
          <cell r="C290" t="str">
            <v>Сис. Блок Vei7</v>
          </cell>
          <cell r="D290">
            <v>36809</v>
          </cell>
          <cell r="E290">
            <v>51</v>
          </cell>
          <cell r="F290">
            <v>60</v>
          </cell>
          <cell r="G290">
            <v>9</v>
          </cell>
          <cell r="H290">
            <v>85</v>
          </cell>
          <cell r="I290">
            <v>75</v>
          </cell>
        </row>
        <row r="291">
          <cell r="B291" t="str">
            <v>ООС-0104-000330</v>
          </cell>
          <cell r="C291" t="str">
            <v>Сис.блок Brio BA</v>
          </cell>
          <cell r="D291">
            <v>36809</v>
          </cell>
          <cell r="E291">
            <v>51</v>
          </cell>
          <cell r="F291">
            <v>60</v>
          </cell>
          <cell r="G291">
            <v>9</v>
          </cell>
          <cell r="H291">
            <v>85</v>
          </cell>
          <cell r="I291">
            <v>75</v>
          </cell>
        </row>
        <row r="292">
          <cell r="B292" t="str">
            <v>ООС-0104-000335</v>
          </cell>
          <cell r="C292" t="str">
            <v>Сис. Блок VEi7</v>
          </cell>
          <cell r="D292">
            <v>36852</v>
          </cell>
          <cell r="E292">
            <v>49</v>
          </cell>
          <cell r="F292">
            <v>60</v>
          </cell>
          <cell r="G292">
            <v>11</v>
          </cell>
          <cell r="H292">
            <v>82</v>
          </cell>
          <cell r="I292">
            <v>75</v>
          </cell>
        </row>
        <row r="293">
          <cell r="B293" t="str">
            <v>ООС-0104-000336</v>
          </cell>
          <cell r="C293" t="str">
            <v>Сис. Блок VEi7</v>
          </cell>
          <cell r="D293">
            <v>36843</v>
          </cell>
          <cell r="E293">
            <v>50</v>
          </cell>
          <cell r="F293">
            <v>60</v>
          </cell>
          <cell r="G293">
            <v>10</v>
          </cell>
          <cell r="H293">
            <v>83</v>
          </cell>
          <cell r="I293">
            <v>75</v>
          </cell>
        </row>
        <row r="294">
          <cell r="B294" t="str">
            <v>ООС-0104-000337</v>
          </cell>
          <cell r="C294" t="str">
            <v>Сис. Блок+мон. Филипсс</v>
          </cell>
          <cell r="D294">
            <v>36831</v>
          </cell>
          <cell r="E294">
            <v>50</v>
          </cell>
          <cell r="F294">
            <v>60</v>
          </cell>
          <cell r="G294">
            <v>10</v>
          </cell>
          <cell r="H294">
            <v>83</v>
          </cell>
          <cell r="I294">
            <v>75</v>
          </cell>
        </row>
        <row r="295">
          <cell r="B295" t="str">
            <v>ООС-0104-000338</v>
          </cell>
          <cell r="C295" t="str">
            <v>Сис. Блок VEi7</v>
          </cell>
          <cell r="D295">
            <v>36831</v>
          </cell>
          <cell r="E295">
            <v>50</v>
          </cell>
          <cell r="F295">
            <v>60</v>
          </cell>
          <cell r="G295">
            <v>10</v>
          </cell>
          <cell r="H295">
            <v>83</v>
          </cell>
          <cell r="I295">
            <v>75</v>
          </cell>
        </row>
        <row r="296">
          <cell r="B296" t="str">
            <v>ООС-0104-000339</v>
          </cell>
          <cell r="C296" t="str">
            <v>Сис. Блок VEi7</v>
          </cell>
          <cell r="D296">
            <v>36831</v>
          </cell>
          <cell r="E296">
            <v>50</v>
          </cell>
          <cell r="F296">
            <v>60</v>
          </cell>
          <cell r="G296">
            <v>10</v>
          </cell>
          <cell r="H296">
            <v>83</v>
          </cell>
          <cell r="I296">
            <v>75</v>
          </cell>
        </row>
        <row r="297">
          <cell r="B297" t="str">
            <v>ООС-0104-000340</v>
          </cell>
          <cell r="C297" t="str">
            <v>Сис. Блок VL400</v>
          </cell>
          <cell r="D297">
            <v>36852</v>
          </cell>
          <cell r="E297">
            <v>59</v>
          </cell>
          <cell r="F297">
            <v>60</v>
          </cell>
          <cell r="G297">
            <v>1</v>
          </cell>
          <cell r="H297">
            <v>98</v>
          </cell>
          <cell r="I297">
            <v>75</v>
          </cell>
        </row>
        <row r="298">
          <cell r="B298" t="str">
            <v>ООС-0104-000766</v>
          </cell>
          <cell r="C298" t="str">
            <v>Пректор OP9000Ahhs</v>
          </cell>
          <cell r="D298">
            <v>37653</v>
          </cell>
          <cell r="E298">
            <v>23</v>
          </cell>
          <cell r="F298">
            <v>84</v>
          </cell>
          <cell r="G298">
            <v>61</v>
          </cell>
          <cell r="H298">
            <v>27</v>
          </cell>
          <cell r="I298">
            <v>10</v>
          </cell>
        </row>
        <row r="299">
          <cell r="B299" t="str">
            <v>ООС-0104-000769</v>
          </cell>
          <cell r="C299" t="str">
            <v>Сис.Блок+монит. D8897VL</v>
          </cell>
          <cell r="D299">
            <v>37653</v>
          </cell>
          <cell r="E299">
            <v>23</v>
          </cell>
          <cell r="F299">
            <v>60</v>
          </cell>
          <cell r="G299">
            <v>37</v>
          </cell>
          <cell r="H299">
            <v>38</v>
          </cell>
          <cell r="I299">
            <v>35</v>
          </cell>
        </row>
        <row r="300">
          <cell r="B300" t="str">
            <v>ООС-0104-000770</v>
          </cell>
          <cell r="C300" t="str">
            <v>Сис. Блок HPD8897</v>
          </cell>
          <cell r="D300">
            <v>37653</v>
          </cell>
          <cell r="E300">
            <v>23</v>
          </cell>
          <cell r="F300">
            <v>60</v>
          </cell>
          <cell r="G300">
            <v>37</v>
          </cell>
          <cell r="H300">
            <v>38</v>
          </cell>
          <cell r="I300">
            <v>35</v>
          </cell>
        </row>
        <row r="301">
          <cell r="B301" t="str">
            <v>ООС-0104-000771</v>
          </cell>
          <cell r="C301" t="str">
            <v>Сис. Блок HPD8897</v>
          </cell>
          <cell r="D301">
            <v>37653</v>
          </cell>
          <cell r="E301">
            <v>23</v>
          </cell>
          <cell r="F301">
            <v>60</v>
          </cell>
          <cell r="G301">
            <v>37</v>
          </cell>
          <cell r="H301">
            <v>38</v>
          </cell>
          <cell r="I301">
            <v>35</v>
          </cell>
        </row>
        <row r="302">
          <cell r="B302" t="str">
            <v>ООС-0104-000772</v>
          </cell>
          <cell r="C302" t="str">
            <v>Сис. Блок HPD8897</v>
          </cell>
          <cell r="D302">
            <v>37653</v>
          </cell>
          <cell r="E302">
            <v>23</v>
          </cell>
          <cell r="F302">
            <v>60</v>
          </cell>
          <cell r="G302">
            <v>37</v>
          </cell>
          <cell r="H302">
            <v>38</v>
          </cell>
          <cell r="I302">
            <v>35</v>
          </cell>
        </row>
        <row r="303">
          <cell r="B303" t="str">
            <v>ООС-0106-000266</v>
          </cell>
          <cell r="C303" t="str">
            <v>Автомобиль ВАЗ-21043</v>
          </cell>
          <cell r="D303">
            <v>36678</v>
          </cell>
          <cell r="E303">
            <v>55</v>
          </cell>
          <cell r="G303">
            <v>0</v>
          </cell>
          <cell r="H303">
            <v>97</v>
          </cell>
          <cell r="I303">
            <v>75</v>
          </cell>
        </row>
        <row r="304">
          <cell r="B304" t="str">
            <v>ООС-0104-000635</v>
          </cell>
          <cell r="C304" t="str">
            <v>Сис. Блок+монит. VL400</v>
          </cell>
          <cell r="D304">
            <v>37561</v>
          </cell>
          <cell r="E304">
            <v>26</v>
          </cell>
          <cell r="F304">
            <v>60</v>
          </cell>
          <cell r="G304">
            <v>34</v>
          </cell>
          <cell r="H304">
            <v>43</v>
          </cell>
          <cell r="I304">
            <v>60</v>
          </cell>
        </row>
        <row r="305">
          <cell r="B305" t="str">
            <v>ООС-0104-000642</v>
          </cell>
          <cell r="C305" t="str">
            <v>Сис. Блок+монит. HP</v>
          </cell>
          <cell r="D305">
            <v>37561</v>
          </cell>
          <cell r="E305">
            <v>26</v>
          </cell>
          <cell r="F305">
            <v>60</v>
          </cell>
          <cell r="G305">
            <v>34</v>
          </cell>
          <cell r="H305">
            <v>43</v>
          </cell>
          <cell r="I305">
            <v>60</v>
          </cell>
        </row>
        <row r="306">
          <cell r="B306" t="str">
            <v>ООС-0104-000643</v>
          </cell>
          <cell r="C306" t="str">
            <v>Сис.блок+монит. P2</v>
          </cell>
          <cell r="D306">
            <v>37561</v>
          </cell>
          <cell r="E306">
            <v>26</v>
          </cell>
          <cell r="F306">
            <v>60</v>
          </cell>
          <cell r="G306">
            <v>34</v>
          </cell>
          <cell r="H306">
            <v>43</v>
          </cell>
          <cell r="I306">
            <v>60</v>
          </cell>
        </row>
        <row r="307">
          <cell r="B307" t="str">
            <v>ООС-0104-001004</v>
          </cell>
          <cell r="C307" t="str">
            <v>Уппаков. Аппарат 405/PS</v>
          </cell>
          <cell r="D307">
            <v>38107</v>
          </cell>
          <cell r="E307">
            <v>8</v>
          </cell>
          <cell r="F307">
            <v>84</v>
          </cell>
          <cell r="G307">
            <v>76</v>
          </cell>
          <cell r="H307">
            <v>10</v>
          </cell>
          <cell r="I307">
            <v>5</v>
          </cell>
        </row>
        <row r="308">
          <cell r="B308" t="str">
            <v>ООС-0104-000169</v>
          </cell>
          <cell r="C308" t="str">
            <v>Сис. Блок Vei7</v>
          </cell>
          <cell r="D308">
            <v>36551</v>
          </cell>
          <cell r="E308">
            <v>59</v>
          </cell>
          <cell r="F308">
            <v>60</v>
          </cell>
          <cell r="G308">
            <v>1</v>
          </cell>
          <cell r="H308">
            <v>98</v>
          </cell>
          <cell r="I308">
            <v>100</v>
          </cell>
        </row>
        <row r="309">
          <cell r="B309" t="str">
            <v>ООС-0104-000197</v>
          </cell>
          <cell r="C309" t="str">
            <v>Сис. Блок Vei8</v>
          </cell>
          <cell r="D309">
            <v>36628</v>
          </cell>
          <cell r="E309">
            <v>57</v>
          </cell>
          <cell r="F309">
            <v>60</v>
          </cell>
          <cell r="G309">
            <v>3</v>
          </cell>
          <cell r="H309">
            <v>95</v>
          </cell>
          <cell r="I309">
            <v>75</v>
          </cell>
        </row>
        <row r="310">
          <cell r="B310" t="str">
            <v>ООС-0104-000996</v>
          </cell>
          <cell r="C310" t="str">
            <v>Подьемник лифтер TM10</v>
          </cell>
          <cell r="D310">
            <v>38077</v>
          </cell>
          <cell r="E310">
            <v>9</v>
          </cell>
          <cell r="F310">
            <v>120</v>
          </cell>
          <cell r="G310">
            <v>111</v>
          </cell>
          <cell r="H310">
            <v>8</v>
          </cell>
          <cell r="I310">
            <v>5</v>
          </cell>
        </row>
        <row r="311">
          <cell r="B311" t="str">
            <v>ООС-0104-001003</v>
          </cell>
          <cell r="C311" t="str">
            <v>Пресс для Rptoplat</v>
          </cell>
          <cell r="D311">
            <v>38107</v>
          </cell>
          <cell r="E311">
            <v>8</v>
          </cell>
          <cell r="F311">
            <v>84</v>
          </cell>
          <cell r="G311">
            <v>76</v>
          </cell>
          <cell r="H311">
            <v>10</v>
          </cell>
          <cell r="I311">
            <v>5</v>
          </cell>
        </row>
        <row r="312">
          <cell r="B312" t="str">
            <v>ООС-0105-000526</v>
          </cell>
          <cell r="C312" t="str">
            <v>Стеллажи</v>
          </cell>
          <cell r="D312">
            <v>38077</v>
          </cell>
          <cell r="E312">
            <v>9</v>
          </cell>
          <cell r="F312">
            <v>260</v>
          </cell>
          <cell r="G312">
            <v>251</v>
          </cell>
          <cell r="H312">
            <v>3</v>
          </cell>
          <cell r="I312">
            <v>5</v>
          </cell>
        </row>
        <row r="313">
          <cell r="B313" t="str">
            <v>ООС-0105-000527</v>
          </cell>
          <cell r="C313" t="str">
            <v>Стеллажи</v>
          </cell>
          <cell r="D313">
            <v>38077</v>
          </cell>
          <cell r="E313">
            <v>9</v>
          </cell>
          <cell r="F313">
            <v>260</v>
          </cell>
          <cell r="G313">
            <v>251</v>
          </cell>
          <cell r="H313">
            <v>3</v>
          </cell>
          <cell r="I313">
            <v>5</v>
          </cell>
        </row>
        <row r="314">
          <cell r="B314" t="str">
            <v>ООС-0104-000413</v>
          </cell>
          <cell r="C314" t="str">
            <v>Батарейка SUPS1000</v>
          </cell>
          <cell r="D314">
            <v>36979</v>
          </cell>
          <cell r="E314">
            <v>45</v>
          </cell>
          <cell r="F314">
            <v>60</v>
          </cell>
          <cell r="G314">
            <v>15</v>
          </cell>
          <cell r="H314">
            <v>75</v>
          </cell>
          <cell r="I314">
            <v>100</v>
          </cell>
        </row>
        <row r="315">
          <cell r="B315" t="str">
            <v>ООС-0104-000414</v>
          </cell>
          <cell r="C315" t="str">
            <v>Батарейка SUPS1000</v>
          </cell>
          <cell r="D315">
            <v>36979</v>
          </cell>
          <cell r="E315">
            <v>45</v>
          </cell>
          <cell r="F315">
            <v>60</v>
          </cell>
          <cell r="G315">
            <v>15</v>
          </cell>
          <cell r="H315">
            <v>75</v>
          </cell>
          <cell r="I315">
            <v>100</v>
          </cell>
        </row>
        <row r="316">
          <cell r="B316" t="str">
            <v>ООС-0104-000452</v>
          </cell>
          <cell r="C316" t="str">
            <v>Тел. Panasonic KT-ST15</v>
          </cell>
          <cell r="D316">
            <v>37165</v>
          </cell>
          <cell r="E316">
            <v>39</v>
          </cell>
          <cell r="F316">
            <v>60</v>
          </cell>
          <cell r="G316">
            <v>21</v>
          </cell>
          <cell r="H316">
            <v>65</v>
          </cell>
          <cell r="I316">
            <v>100</v>
          </cell>
        </row>
        <row r="317">
          <cell r="B317" t="str">
            <v>ООС-0104-000453</v>
          </cell>
          <cell r="C317" t="str">
            <v>Тел. Panasonic KT-ST15</v>
          </cell>
          <cell r="D317">
            <v>37165</v>
          </cell>
          <cell r="E317">
            <v>39</v>
          </cell>
          <cell r="F317">
            <v>60</v>
          </cell>
          <cell r="G317">
            <v>21</v>
          </cell>
          <cell r="H317">
            <v>65</v>
          </cell>
          <cell r="I317">
            <v>100</v>
          </cell>
        </row>
        <row r="318">
          <cell r="B318" t="str">
            <v>ООС-0104-000454</v>
          </cell>
          <cell r="C318" t="str">
            <v>Тел. Panasonic KT-ST15</v>
          </cell>
          <cell r="D318">
            <v>37165</v>
          </cell>
          <cell r="E318">
            <v>39</v>
          </cell>
          <cell r="F318">
            <v>60</v>
          </cell>
          <cell r="G318">
            <v>21</v>
          </cell>
          <cell r="H318">
            <v>65</v>
          </cell>
          <cell r="I318">
            <v>100</v>
          </cell>
        </row>
        <row r="319">
          <cell r="B319" t="str">
            <v>ООС-0104-000455</v>
          </cell>
          <cell r="C319" t="str">
            <v>Тел. Panasonic KT-ST15</v>
          </cell>
          <cell r="D319">
            <v>37165</v>
          </cell>
          <cell r="E319">
            <v>39</v>
          </cell>
          <cell r="F319">
            <v>60</v>
          </cell>
          <cell r="G319">
            <v>21</v>
          </cell>
          <cell r="H319">
            <v>65</v>
          </cell>
          <cell r="I319">
            <v>100</v>
          </cell>
        </row>
        <row r="320">
          <cell r="B320" t="str">
            <v>ООС-0104-000456</v>
          </cell>
          <cell r="C320" t="str">
            <v>Тел. Panasonic KT-ST15</v>
          </cell>
          <cell r="D320">
            <v>37165</v>
          </cell>
          <cell r="E320">
            <v>39</v>
          </cell>
          <cell r="F320">
            <v>60</v>
          </cell>
          <cell r="G320">
            <v>21</v>
          </cell>
          <cell r="H320">
            <v>65</v>
          </cell>
          <cell r="I320">
            <v>100</v>
          </cell>
        </row>
        <row r="321">
          <cell r="B321" t="str">
            <v>ООС-0104-000457</v>
          </cell>
          <cell r="C321" t="str">
            <v>Тел. Panasonic KT-ST15</v>
          </cell>
          <cell r="D321">
            <v>37165</v>
          </cell>
          <cell r="E321">
            <v>39</v>
          </cell>
          <cell r="F321">
            <v>60</v>
          </cell>
          <cell r="G321">
            <v>21</v>
          </cell>
          <cell r="H321">
            <v>65</v>
          </cell>
          <cell r="I321">
            <v>100</v>
          </cell>
        </row>
        <row r="322">
          <cell r="B322" t="str">
            <v>ООС-0104-000657</v>
          </cell>
          <cell r="C322" t="str">
            <v>Принтер HPLJ4050</v>
          </cell>
          <cell r="D322">
            <v>37622</v>
          </cell>
          <cell r="E322">
            <v>24</v>
          </cell>
          <cell r="F322">
            <v>60</v>
          </cell>
          <cell r="G322">
            <v>36</v>
          </cell>
          <cell r="H322">
            <v>40</v>
          </cell>
          <cell r="I322">
            <v>60</v>
          </cell>
        </row>
        <row r="323">
          <cell r="B323" t="str">
            <v>ООС-0104-000669</v>
          </cell>
          <cell r="C323" t="str">
            <v>Монитор HP 55</v>
          </cell>
          <cell r="D323">
            <v>37622</v>
          </cell>
          <cell r="E323">
            <v>24</v>
          </cell>
          <cell r="F323">
            <v>60</v>
          </cell>
          <cell r="G323">
            <v>36</v>
          </cell>
          <cell r="H323">
            <v>40</v>
          </cell>
          <cell r="I323">
            <v>5</v>
          </cell>
        </row>
        <row r="324">
          <cell r="B324" t="str">
            <v>ООС-0104-000694</v>
          </cell>
          <cell r="C324" t="str">
            <v>Сис. Блок VL400</v>
          </cell>
          <cell r="D324">
            <v>37622</v>
          </cell>
          <cell r="E324">
            <v>24</v>
          </cell>
          <cell r="F324">
            <v>60</v>
          </cell>
          <cell r="G324">
            <v>36</v>
          </cell>
          <cell r="H324">
            <v>40</v>
          </cell>
          <cell r="I324">
            <v>30</v>
          </cell>
        </row>
        <row r="325">
          <cell r="B325" t="str">
            <v>ООС-0104-000946</v>
          </cell>
          <cell r="C325" t="str">
            <v xml:space="preserve">Сервер HP LH </v>
          </cell>
          <cell r="D325">
            <v>38034</v>
          </cell>
          <cell r="E325">
            <v>11</v>
          </cell>
          <cell r="F325">
            <v>60</v>
          </cell>
          <cell r="G325">
            <v>49</v>
          </cell>
          <cell r="H325">
            <v>18</v>
          </cell>
          <cell r="I325">
            <v>60</v>
          </cell>
        </row>
        <row r="326">
          <cell r="B326" t="str">
            <v>ООС-0104-000969</v>
          </cell>
          <cell r="C326" t="str">
            <v>Сис. Блок Vei8</v>
          </cell>
          <cell r="D326">
            <v>38034</v>
          </cell>
          <cell r="E326">
            <v>11</v>
          </cell>
          <cell r="F326">
            <v>60</v>
          </cell>
          <cell r="G326">
            <v>49</v>
          </cell>
          <cell r="H326">
            <v>18</v>
          </cell>
          <cell r="I326">
            <v>60</v>
          </cell>
        </row>
        <row r="327">
          <cell r="B327" t="str">
            <v>ООС-0104-000970</v>
          </cell>
          <cell r="C327" t="str">
            <v>Сис. Блок HPE-ps40</v>
          </cell>
          <cell r="D327">
            <v>38034</v>
          </cell>
          <cell r="E327">
            <v>11</v>
          </cell>
          <cell r="F327">
            <v>60</v>
          </cell>
          <cell r="G327">
            <v>49</v>
          </cell>
          <cell r="H327">
            <v>18</v>
          </cell>
          <cell r="I327">
            <v>100</v>
          </cell>
        </row>
        <row r="328">
          <cell r="B328" t="str">
            <v>ООС-0104-000971</v>
          </cell>
          <cell r="C328" t="str">
            <v>Сис. Блок  HP Ve5</v>
          </cell>
          <cell r="D328">
            <v>38034</v>
          </cell>
          <cell r="E328">
            <v>11</v>
          </cell>
          <cell r="F328">
            <v>60</v>
          </cell>
          <cell r="G328">
            <v>49</v>
          </cell>
          <cell r="H328">
            <v>18</v>
          </cell>
          <cell r="I328">
            <v>100</v>
          </cell>
        </row>
        <row r="329">
          <cell r="B329" t="str">
            <v>ООС-0104-000972</v>
          </cell>
          <cell r="C329" t="str">
            <v>Сис. Блок HP VE5D5602</v>
          </cell>
          <cell r="D329">
            <v>38034</v>
          </cell>
          <cell r="E329">
            <v>11</v>
          </cell>
          <cell r="F329">
            <v>60</v>
          </cell>
          <cell r="G329">
            <v>49</v>
          </cell>
          <cell r="H329">
            <v>18</v>
          </cell>
          <cell r="I329">
            <v>100</v>
          </cell>
        </row>
        <row r="330">
          <cell r="B330" t="str">
            <v>ООС-0104-000973</v>
          </cell>
          <cell r="C330" t="str">
            <v>Сис. Блок HPVE5D5602</v>
          </cell>
          <cell r="D330">
            <v>38034</v>
          </cell>
          <cell r="E330">
            <v>11</v>
          </cell>
          <cell r="F330">
            <v>60</v>
          </cell>
          <cell r="G330">
            <v>49</v>
          </cell>
          <cell r="H330">
            <v>18</v>
          </cell>
          <cell r="I330">
            <v>100</v>
          </cell>
        </row>
        <row r="331">
          <cell r="B331" t="str">
            <v>ООС-0104-000974</v>
          </cell>
          <cell r="C331" t="str">
            <v>Сис. Блок VI410</v>
          </cell>
          <cell r="D331">
            <v>38034</v>
          </cell>
          <cell r="E331">
            <v>11</v>
          </cell>
          <cell r="F331">
            <v>60</v>
          </cell>
          <cell r="G331">
            <v>49</v>
          </cell>
          <cell r="H331">
            <v>18</v>
          </cell>
          <cell r="I331">
            <v>60</v>
          </cell>
        </row>
        <row r="332">
          <cell r="B332" t="str">
            <v>ООС-0104-000975</v>
          </cell>
          <cell r="C332" t="str">
            <v>Сис. Блок VI410</v>
          </cell>
          <cell r="D332">
            <v>38034</v>
          </cell>
          <cell r="E332">
            <v>11</v>
          </cell>
          <cell r="F332">
            <v>60</v>
          </cell>
          <cell r="G332">
            <v>49</v>
          </cell>
          <cell r="H332">
            <v>18</v>
          </cell>
          <cell r="I332">
            <v>60</v>
          </cell>
        </row>
        <row r="333">
          <cell r="B333" t="str">
            <v>ООС-0104-000976</v>
          </cell>
          <cell r="C333" t="str">
            <v>Сис. Блок VE5 D5602</v>
          </cell>
          <cell r="D333">
            <v>38034</v>
          </cell>
          <cell r="E333">
            <v>11</v>
          </cell>
          <cell r="F333">
            <v>60</v>
          </cell>
          <cell r="G333">
            <v>49</v>
          </cell>
          <cell r="H333">
            <v>18</v>
          </cell>
          <cell r="I333">
            <v>100</v>
          </cell>
        </row>
        <row r="334">
          <cell r="B334" t="str">
            <v>ООС-0104-000165</v>
          </cell>
          <cell r="C334" t="str">
            <v>Сет. Оборуд.Cisco1600</v>
          </cell>
          <cell r="D334">
            <v>36556</v>
          </cell>
          <cell r="E334">
            <v>59</v>
          </cell>
          <cell r="F334">
            <v>60</v>
          </cell>
          <cell r="G334">
            <v>1</v>
          </cell>
          <cell r="H334">
            <v>98</v>
          </cell>
          <cell r="I334">
            <v>60</v>
          </cell>
        </row>
        <row r="335">
          <cell r="B335" t="str">
            <v>ООС-0104-000166</v>
          </cell>
          <cell r="C335" t="str">
            <v>Сет. Оборуд.Cisco1601</v>
          </cell>
          <cell r="D335">
            <v>36556</v>
          </cell>
          <cell r="E335">
            <v>59</v>
          </cell>
          <cell r="F335">
            <v>60</v>
          </cell>
          <cell r="G335">
            <v>1</v>
          </cell>
          <cell r="H335">
            <v>98</v>
          </cell>
          <cell r="I335">
            <v>60</v>
          </cell>
        </row>
        <row r="336">
          <cell r="B336" t="str">
            <v>ООС-0104-000168</v>
          </cell>
          <cell r="C336" t="str">
            <v>Сис. Блок Vei7</v>
          </cell>
          <cell r="D336">
            <v>36551</v>
          </cell>
          <cell r="E336">
            <v>59</v>
          </cell>
          <cell r="F336">
            <v>60</v>
          </cell>
          <cell r="G336">
            <v>1</v>
          </cell>
          <cell r="H336">
            <v>98</v>
          </cell>
          <cell r="I336">
            <v>75</v>
          </cell>
        </row>
        <row r="337">
          <cell r="B337" t="str">
            <v>ООС-0104-000172</v>
          </cell>
          <cell r="C337" t="str">
            <v>Копп. Апп. Rex-Rotaru2827</v>
          </cell>
          <cell r="D337">
            <v>36571</v>
          </cell>
          <cell r="E337">
            <v>59</v>
          </cell>
          <cell r="F337">
            <v>60</v>
          </cell>
          <cell r="G337">
            <v>1</v>
          </cell>
          <cell r="H337">
            <v>98</v>
          </cell>
          <cell r="I337">
            <v>75</v>
          </cell>
        </row>
        <row r="338">
          <cell r="B338" t="str">
            <v>ООС-0104-000225</v>
          </cell>
          <cell r="C338" t="str">
            <v>Факс Panafax uf s2</v>
          </cell>
          <cell r="D338">
            <v>36683</v>
          </cell>
          <cell r="E338">
            <v>55</v>
          </cell>
          <cell r="F338">
            <v>60</v>
          </cell>
          <cell r="G338">
            <v>5</v>
          </cell>
          <cell r="H338">
            <v>92</v>
          </cell>
          <cell r="I338">
            <v>100</v>
          </cell>
        </row>
        <row r="339">
          <cell r="B339" t="str">
            <v>ООС-0104-000284</v>
          </cell>
          <cell r="C339" t="str">
            <v>Копп. Апп. Rex-Rotaru5110</v>
          </cell>
          <cell r="D339">
            <v>36711</v>
          </cell>
          <cell r="E339">
            <v>54</v>
          </cell>
          <cell r="F339">
            <v>60</v>
          </cell>
          <cell r="G339">
            <v>6</v>
          </cell>
          <cell r="H339">
            <v>90</v>
          </cell>
          <cell r="I339">
            <v>75</v>
          </cell>
        </row>
        <row r="340">
          <cell r="B340" t="str">
            <v>ООС-0104-000289</v>
          </cell>
          <cell r="C340" t="str">
            <v>Сис. Блок Vei7</v>
          </cell>
          <cell r="D340">
            <v>36728</v>
          </cell>
          <cell r="E340">
            <v>53</v>
          </cell>
          <cell r="F340">
            <v>60</v>
          </cell>
          <cell r="G340">
            <v>7</v>
          </cell>
          <cell r="H340">
            <v>88</v>
          </cell>
          <cell r="I340">
            <v>75</v>
          </cell>
        </row>
        <row r="341">
          <cell r="B341" t="str">
            <v>ООС-0104-000290</v>
          </cell>
          <cell r="C341" t="str">
            <v>Сис. Блок Vei7</v>
          </cell>
          <cell r="D341">
            <v>36728</v>
          </cell>
          <cell r="E341">
            <v>53</v>
          </cell>
          <cell r="F341">
            <v>60</v>
          </cell>
          <cell r="G341">
            <v>7</v>
          </cell>
          <cell r="H341">
            <v>88</v>
          </cell>
          <cell r="I341">
            <v>75</v>
          </cell>
        </row>
        <row r="342">
          <cell r="B342" t="str">
            <v>ООС-0104-000291</v>
          </cell>
          <cell r="C342" t="str">
            <v>Сис. Блок Vei7</v>
          </cell>
          <cell r="D342">
            <v>36728</v>
          </cell>
          <cell r="E342">
            <v>53</v>
          </cell>
          <cell r="F342">
            <v>60</v>
          </cell>
          <cell r="G342">
            <v>7</v>
          </cell>
          <cell r="H342">
            <v>88</v>
          </cell>
          <cell r="I342">
            <v>75</v>
          </cell>
        </row>
        <row r="343">
          <cell r="B343" t="str">
            <v>ООС-0104-000292</v>
          </cell>
          <cell r="C343" t="str">
            <v>Сис. Блок Vei7</v>
          </cell>
          <cell r="D343">
            <v>36728</v>
          </cell>
          <cell r="E343">
            <v>53</v>
          </cell>
          <cell r="F343">
            <v>60</v>
          </cell>
          <cell r="G343">
            <v>7</v>
          </cell>
          <cell r="H343">
            <v>88</v>
          </cell>
          <cell r="I343">
            <v>75</v>
          </cell>
        </row>
        <row r="344">
          <cell r="B344" t="str">
            <v>ООС-0104-000293</v>
          </cell>
          <cell r="C344" t="str">
            <v>Сис. Блок Vei7</v>
          </cell>
          <cell r="D344">
            <v>36728</v>
          </cell>
          <cell r="E344">
            <v>53</v>
          </cell>
          <cell r="F344">
            <v>60</v>
          </cell>
          <cell r="G344">
            <v>7</v>
          </cell>
          <cell r="H344">
            <v>88</v>
          </cell>
          <cell r="I344">
            <v>75</v>
          </cell>
        </row>
        <row r="345">
          <cell r="B345" t="str">
            <v>ООС-0104-000308</v>
          </cell>
          <cell r="C345" t="str">
            <v>Копп. Апп. Rex-Rotaru8851</v>
          </cell>
          <cell r="D345">
            <v>36739</v>
          </cell>
          <cell r="E345">
            <v>53</v>
          </cell>
          <cell r="F345">
            <v>60</v>
          </cell>
          <cell r="G345">
            <v>7</v>
          </cell>
          <cell r="H345">
            <v>88</v>
          </cell>
          <cell r="I345">
            <v>75</v>
          </cell>
        </row>
        <row r="346">
          <cell r="B346" t="str">
            <v>ООС-0104-000671</v>
          </cell>
          <cell r="C346" t="str">
            <v>Принтер HPLJ4050</v>
          </cell>
          <cell r="D346">
            <v>37622</v>
          </cell>
          <cell r="E346">
            <v>24</v>
          </cell>
          <cell r="F346">
            <v>60</v>
          </cell>
          <cell r="G346">
            <v>36</v>
          </cell>
          <cell r="H346">
            <v>40</v>
          </cell>
          <cell r="I346">
            <v>60</v>
          </cell>
        </row>
        <row r="347">
          <cell r="B347" t="str">
            <v>ООС-0104-000673</v>
          </cell>
          <cell r="C347" t="str">
            <v>Сис.блк+монит.VL400DT</v>
          </cell>
          <cell r="D347">
            <v>37622</v>
          </cell>
          <cell r="E347">
            <v>24</v>
          </cell>
          <cell r="F347">
            <v>60</v>
          </cell>
          <cell r="G347">
            <v>36</v>
          </cell>
          <cell r="H347">
            <v>40</v>
          </cell>
          <cell r="I347">
            <v>60</v>
          </cell>
        </row>
        <row r="348">
          <cell r="B348" t="str">
            <v>ООС-0104-000674</v>
          </cell>
          <cell r="C348" t="str">
            <v>Ноутбук Satell 2805-S302</v>
          </cell>
          <cell r="D348">
            <v>37622</v>
          </cell>
          <cell r="E348">
            <v>24</v>
          </cell>
          <cell r="F348">
            <v>60</v>
          </cell>
          <cell r="G348">
            <v>36</v>
          </cell>
          <cell r="H348">
            <v>40</v>
          </cell>
          <cell r="I348">
            <v>60</v>
          </cell>
        </row>
        <row r="349">
          <cell r="B349" t="str">
            <v>ООС-0104-000699</v>
          </cell>
          <cell r="C349" t="str">
            <v>Принтер HP LJ1100</v>
          </cell>
          <cell r="D349">
            <v>37622</v>
          </cell>
          <cell r="E349">
            <v>24</v>
          </cell>
          <cell r="F349">
            <v>60</v>
          </cell>
          <cell r="G349">
            <v>36</v>
          </cell>
          <cell r="H349">
            <v>40</v>
          </cell>
          <cell r="I349">
            <v>60</v>
          </cell>
        </row>
        <row r="350">
          <cell r="B350" t="str">
            <v>ООС-0104-000616</v>
          </cell>
          <cell r="C350" t="str">
            <v>Сис. Блок Brio BA</v>
          </cell>
          <cell r="D350">
            <v>37622</v>
          </cell>
          <cell r="E350">
            <v>24</v>
          </cell>
          <cell r="F350">
            <v>60</v>
          </cell>
          <cell r="G350">
            <v>36</v>
          </cell>
          <cell r="H350">
            <v>40</v>
          </cell>
          <cell r="I350">
            <v>60</v>
          </cell>
        </row>
        <row r="351">
          <cell r="B351" t="str">
            <v>ООС-0104-000620</v>
          </cell>
          <cell r="C351" t="str">
            <v>Принтер HPLJ1100</v>
          </cell>
          <cell r="D351">
            <v>37622</v>
          </cell>
          <cell r="E351">
            <v>24</v>
          </cell>
          <cell r="F351">
            <v>60</v>
          </cell>
          <cell r="G351">
            <v>36</v>
          </cell>
          <cell r="H351">
            <v>40</v>
          </cell>
          <cell r="I351">
            <v>60</v>
          </cell>
        </row>
        <row r="352">
          <cell r="B352" t="str">
            <v>ООС-014-000404</v>
          </cell>
          <cell r="C352" t="str">
            <v>Ксерокс Rex-Rotaru</v>
          </cell>
          <cell r="D352">
            <v>36948</v>
          </cell>
          <cell r="E352">
            <v>46</v>
          </cell>
          <cell r="F352">
            <v>60</v>
          </cell>
          <cell r="G352">
            <v>14</v>
          </cell>
          <cell r="H352">
            <v>77</v>
          </cell>
          <cell r="I352">
            <v>75</v>
          </cell>
        </row>
        <row r="353">
          <cell r="B353" t="str">
            <v>ООС-0104-000415</v>
          </cell>
          <cell r="C353" t="str">
            <v>Батарейка UPS1000</v>
          </cell>
          <cell r="D353">
            <v>36979</v>
          </cell>
          <cell r="E353">
            <v>45</v>
          </cell>
          <cell r="F353">
            <v>60</v>
          </cell>
          <cell r="G353">
            <v>15</v>
          </cell>
          <cell r="H353">
            <v>75</v>
          </cell>
          <cell r="I353">
            <v>100</v>
          </cell>
        </row>
        <row r="354">
          <cell r="B354" t="str">
            <v>ООС-0104-000432</v>
          </cell>
          <cell r="C354" t="str">
            <v>Масленный радиатор</v>
          </cell>
          <cell r="D354">
            <v>37000</v>
          </cell>
          <cell r="E354">
            <v>44</v>
          </cell>
          <cell r="F354">
            <v>84</v>
          </cell>
          <cell r="G354">
            <v>40</v>
          </cell>
          <cell r="H354">
            <v>52</v>
          </cell>
          <cell r="I354">
            <v>100</v>
          </cell>
        </row>
        <row r="355">
          <cell r="B355" t="str">
            <v>ООС-0104-000433</v>
          </cell>
          <cell r="C355" t="str">
            <v>Масленный радиатор</v>
          </cell>
          <cell r="D355">
            <v>37000</v>
          </cell>
          <cell r="E355">
            <v>44</v>
          </cell>
          <cell r="F355">
            <v>84</v>
          </cell>
          <cell r="G355">
            <v>40</v>
          </cell>
          <cell r="H355">
            <v>52</v>
          </cell>
          <cell r="I355">
            <v>100</v>
          </cell>
        </row>
        <row r="356">
          <cell r="B356" t="str">
            <v>ООС-0104-000434</v>
          </cell>
          <cell r="C356" t="str">
            <v>Масленный радиатор</v>
          </cell>
          <cell r="D356">
            <v>37000</v>
          </cell>
          <cell r="E356">
            <v>44</v>
          </cell>
          <cell r="F356">
            <v>84</v>
          </cell>
          <cell r="G356">
            <v>40</v>
          </cell>
          <cell r="H356">
            <v>52</v>
          </cell>
          <cell r="I356">
            <v>100</v>
          </cell>
        </row>
        <row r="357">
          <cell r="B357" t="str">
            <v>ООС-0104-000435</v>
          </cell>
          <cell r="C357" t="str">
            <v>Масленный радиатор</v>
          </cell>
          <cell r="D357">
            <v>37000</v>
          </cell>
          <cell r="E357">
            <v>44</v>
          </cell>
          <cell r="F357">
            <v>84</v>
          </cell>
          <cell r="G357">
            <v>40</v>
          </cell>
          <cell r="H357">
            <v>52</v>
          </cell>
          <cell r="I357">
            <v>100</v>
          </cell>
        </row>
        <row r="358">
          <cell r="B358" t="str">
            <v>ООС-0104-000436</v>
          </cell>
          <cell r="C358" t="str">
            <v>Масленный радиатор</v>
          </cell>
          <cell r="D358">
            <v>37000</v>
          </cell>
          <cell r="E358">
            <v>44</v>
          </cell>
          <cell r="F358">
            <v>84</v>
          </cell>
          <cell r="G358">
            <v>40</v>
          </cell>
          <cell r="H358">
            <v>52</v>
          </cell>
          <cell r="I358">
            <v>100</v>
          </cell>
        </row>
        <row r="359">
          <cell r="B359" t="str">
            <v>ООС-0104-000437</v>
          </cell>
          <cell r="C359" t="str">
            <v>Масленный радиатор</v>
          </cell>
          <cell r="D359">
            <v>37000</v>
          </cell>
          <cell r="E359">
            <v>44</v>
          </cell>
          <cell r="F359">
            <v>84</v>
          </cell>
          <cell r="G359">
            <v>40</v>
          </cell>
          <cell r="H359">
            <v>52</v>
          </cell>
          <cell r="I359">
            <v>100</v>
          </cell>
        </row>
        <row r="360">
          <cell r="B360" t="str">
            <v>ООС-0104-000349</v>
          </cell>
          <cell r="C360" t="str">
            <v>Установка для запуска</v>
          </cell>
          <cell r="D360">
            <v>36868</v>
          </cell>
          <cell r="E360">
            <v>49</v>
          </cell>
          <cell r="F360">
            <v>84</v>
          </cell>
          <cell r="G360">
            <v>35</v>
          </cell>
          <cell r="H360">
            <v>58</v>
          </cell>
          <cell r="I360">
            <v>75</v>
          </cell>
        </row>
        <row r="361">
          <cell r="B361" t="str">
            <v>ООС-0104-000370</v>
          </cell>
          <cell r="C361" t="str">
            <v>Аппарат копп. MB5615</v>
          </cell>
          <cell r="D361">
            <v>36861</v>
          </cell>
          <cell r="E361">
            <v>49</v>
          </cell>
          <cell r="F361">
            <v>60</v>
          </cell>
          <cell r="G361">
            <v>11</v>
          </cell>
          <cell r="H361">
            <v>82</v>
          </cell>
          <cell r="I361">
            <v>75</v>
          </cell>
        </row>
        <row r="362">
          <cell r="B362" t="str">
            <v>ООС-0104-000470</v>
          </cell>
          <cell r="C362" t="str">
            <v>Тел. Ericsson T28</v>
          </cell>
          <cell r="D362">
            <v>37235</v>
          </cell>
          <cell r="E362">
            <v>37</v>
          </cell>
          <cell r="F362">
            <v>48</v>
          </cell>
          <cell r="G362">
            <v>11</v>
          </cell>
          <cell r="H362">
            <v>77</v>
          </cell>
          <cell r="I362">
            <v>100</v>
          </cell>
        </row>
        <row r="363">
          <cell r="B363" t="str">
            <v>ООС-0105-000427</v>
          </cell>
          <cell r="C363" t="str">
            <v>Шкаф ШРМ 22</v>
          </cell>
          <cell r="D363">
            <v>36986</v>
          </cell>
          <cell r="E363">
            <v>45</v>
          </cell>
          <cell r="F363">
            <v>260</v>
          </cell>
          <cell r="G363">
            <v>215</v>
          </cell>
          <cell r="H363">
            <v>17</v>
          </cell>
          <cell r="I363">
            <v>100</v>
          </cell>
        </row>
        <row r="364">
          <cell r="B364" t="str">
            <v>ООС-0105-000428</v>
          </cell>
          <cell r="C364" t="str">
            <v>Шкаф ШРМ 14</v>
          </cell>
          <cell r="D364">
            <v>36986</v>
          </cell>
          <cell r="E364">
            <v>45</v>
          </cell>
          <cell r="F364">
            <v>260</v>
          </cell>
          <cell r="G364">
            <v>215</v>
          </cell>
          <cell r="H364">
            <v>17</v>
          </cell>
          <cell r="I364">
            <v>100</v>
          </cell>
        </row>
        <row r="365">
          <cell r="B365" t="str">
            <v>ООС-0105-000429</v>
          </cell>
          <cell r="C365" t="str">
            <v>Шкаф ШРМ 14</v>
          </cell>
          <cell r="D365">
            <v>36986</v>
          </cell>
          <cell r="E365">
            <v>45</v>
          </cell>
          <cell r="F365">
            <v>260</v>
          </cell>
          <cell r="G365">
            <v>215</v>
          </cell>
          <cell r="H365">
            <v>17</v>
          </cell>
          <cell r="I365">
            <v>100</v>
          </cell>
        </row>
        <row r="366">
          <cell r="B366" t="str">
            <v>ООС-0105-000430</v>
          </cell>
          <cell r="C366" t="str">
            <v>Шкаф ШРМ 14</v>
          </cell>
          <cell r="D366">
            <v>36986</v>
          </cell>
          <cell r="E366">
            <v>45</v>
          </cell>
          <cell r="F366">
            <v>260</v>
          </cell>
          <cell r="G366">
            <v>215</v>
          </cell>
          <cell r="H366">
            <v>17</v>
          </cell>
          <cell r="I366">
            <v>100</v>
          </cell>
        </row>
        <row r="367">
          <cell r="B367" t="str">
            <v>ООС-0105-000431</v>
          </cell>
          <cell r="C367" t="str">
            <v>Шкаф ШРМ 14</v>
          </cell>
          <cell r="D367">
            <v>36986</v>
          </cell>
          <cell r="E367">
            <v>45</v>
          </cell>
          <cell r="F367">
            <v>260</v>
          </cell>
          <cell r="G367">
            <v>215</v>
          </cell>
          <cell r="H367">
            <v>17</v>
          </cell>
          <cell r="I367">
            <v>100</v>
          </cell>
        </row>
        <row r="368">
          <cell r="B368" t="str">
            <v>ООС-0104-000202</v>
          </cell>
          <cell r="C368" t="str">
            <v>Сис. Блок Vei7</v>
          </cell>
          <cell r="D368">
            <v>36636</v>
          </cell>
          <cell r="E368">
            <v>56</v>
          </cell>
          <cell r="F368">
            <v>60</v>
          </cell>
          <cell r="G368">
            <v>4</v>
          </cell>
          <cell r="H368">
            <v>93</v>
          </cell>
          <cell r="I368">
            <v>100</v>
          </cell>
        </row>
        <row r="369">
          <cell r="B369" t="str">
            <v>ООС-0104-000203</v>
          </cell>
          <cell r="C369" t="str">
            <v>Сис. Блок Vei7</v>
          </cell>
          <cell r="D369">
            <v>36636</v>
          </cell>
          <cell r="E369">
            <v>56</v>
          </cell>
          <cell r="F369">
            <v>60</v>
          </cell>
          <cell r="G369">
            <v>4</v>
          </cell>
          <cell r="H369">
            <v>93</v>
          </cell>
          <cell r="I369">
            <v>100</v>
          </cell>
        </row>
        <row r="370">
          <cell r="B370" t="str">
            <v>ООС-0104-000212</v>
          </cell>
          <cell r="C370" t="str">
            <v>Сис. Блок Vei7</v>
          </cell>
          <cell r="D370">
            <v>36675</v>
          </cell>
          <cell r="E370">
            <v>55</v>
          </cell>
          <cell r="F370">
            <v>60</v>
          </cell>
          <cell r="G370">
            <v>5</v>
          </cell>
          <cell r="H370">
            <v>92</v>
          </cell>
          <cell r="I370">
            <v>100</v>
          </cell>
        </row>
        <row r="371">
          <cell r="B371" t="str">
            <v>ООС-0104-000213</v>
          </cell>
          <cell r="C371" t="str">
            <v>Сис. Блок Vei7</v>
          </cell>
          <cell r="D371">
            <v>36675</v>
          </cell>
          <cell r="E371">
            <v>55</v>
          </cell>
          <cell r="F371">
            <v>60</v>
          </cell>
          <cell r="G371">
            <v>5</v>
          </cell>
          <cell r="H371">
            <v>92</v>
          </cell>
          <cell r="I371">
            <v>100</v>
          </cell>
        </row>
        <row r="372">
          <cell r="B372" t="str">
            <v>ООС-0104-000401</v>
          </cell>
          <cell r="C372" t="str">
            <v>Принтер HPLj4000</v>
          </cell>
          <cell r="D372">
            <v>37377</v>
          </cell>
          <cell r="E372">
            <v>32</v>
          </cell>
          <cell r="F372">
            <v>60</v>
          </cell>
          <cell r="G372">
            <v>28</v>
          </cell>
          <cell r="H372">
            <v>53</v>
          </cell>
          <cell r="I372">
            <v>60</v>
          </cell>
        </row>
        <row r="373">
          <cell r="B373" t="str">
            <v>ООС-0104-000581</v>
          </cell>
          <cell r="C373" t="str">
            <v>Монитор VSE70</v>
          </cell>
          <cell r="D373">
            <v>37377</v>
          </cell>
          <cell r="E373">
            <v>32</v>
          </cell>
          <cell r="F373">
            <v>60</v>
          </cell>
          <cell r="G373">
            <v>28</v>
          </cell>
          <cell r="H373">
            <v>53</v>
          </cell>
          <cell r="I373">
            <v>60</v>
          </cell>
        </row>
        <row r="374">
          <cell r="B374" t="str">
            <v>ООС-0104-000776</v>
          </cell>
          <cell r="C374" t="str">
            <v>сис. Блок VI410</v>
          </cell>
          <cell r="D374">
            <v>37681</v>
          </cell>
          <cell r="E374">
            <v>22</v>
          </cell>
          <cell r="F374">
            <v>60</v>
          </cell>
          <cell r="G374">
            <v>38</v>
          </cell>
          <cell r="H374">
            <v>37</v>
          </cell>
          <cell r="I374">
            <v>60</v>
          </cell>
        </row>
        <row r="375">
          <cell r="B375" t="str">
            <v>ООС-0104-000781</v>
          </cell>
          <cell r="C375" t="str">
            <v>Сис.блок+монит. VL400</v>
          </cell>
          <cell r="D375">
            <v>37681</v>
          </cell>
          <cell r="E375">
            <v>22</v>
          </cell>
          <cell r="F375">
            <v>60</v>
          </cell>
          <cell r="G375">
            <v>38</v>
          </cell>
          <cell r="H375">
            <v>37</v>
          </cell>
          <cell r="I375">
            <v>60</v>
          </cell>
        </row>
        <row r="376">
          <cell r="B376" t="str">
            <v>ООС-0104-000854</v>
          </cell>
          <cell r="C376" t="str">
            <v>Ноутбук Satell 2805-S503</v>
          </cell>
          <cell r="D376">
            <v>37742</v>
          </cell>
          <cell r="E376">
            <v>20</v>
          </cell>
          <cell r="F376">
            <v>60</v>
          </cell>
          <cell r="G376">
            <v>40</v>
          </cell>
          <cell r="H376">
            <v>33</v>
          </cell>
          <cell r="I376">
            <v>60</v>
          </cell>
        </row>
        <row r="377">
          <cell r="B377" t="str">
            <v>ООС-0105-000087</v>
          </cell>
          <cell r="C377" t="str">
            <v xml:space="preserve">Стол рабочий </v>
          </cell>
          <cell r="D377">
            <v>36223</v>
          </cell>
          <cell r="E377">
            <v>70</v>
          </cell>
          <cell r="F377">
            <v>84</v>
          </cell>
          <cell r="G377">
            <v>14</v>
          </cell>
          <cell r="H377">
            <v>83</v>
          </cell>
          <cell r="I377">
            <v>100</v>
          </cell>
        </row>
        <row r="378">
          <cell r="B378" t="str">
            <v>ООС-0104-001056</v>
          </cell>
          <cell r="C378" t="str">
            <v>Сис. Блок HPD230m</v>
          </cell>
          <cell r="D378">
            <v>38244</v>
          </cell>
          <cell r="E378">
            <v>4</v>
          </cell>
          <cell r="F378">
            <v>60</v>
          </cell>
          <cell r="G378">
            <v>56</v>
          </cell>
          <cell r="H378">
            <v>7</v>
          </cell>
          <cell r="I378">
            <v>10</v>
          </cell>
        </row>
        <row r="379">
          <cell r="B379" t="str">
            <v>ООС-0104-001062</v>
          </cell>
          <cell r="C379" t="str">
            <v>Сис. Блок HPD230m</v>
          </cell>
          <cell r="D379">
            <v>38244</v>
          </cell>
          <cell r="E379">
            <v>4</v>
          </cell>
          <cell r="F379">
            <v>60</v>
          </cell>
          <cell r="G379">
            <v>56</v>
          </cell>
          <cell r="H379">
            <v>7</v>
          </cell>
          <cell r="I379">
            <v>10</v>
          </cell>
        </row>
        <row r="380">
          <cell r="B380" t="str">
            <v>ООС-0104-001061</v>
          </cell>
          <cell r="C380" t="str">
            <v>Сис. Блок HPD230m</v>
          </cell>
          <cell r="D380">
            <v>38244</v>
          </cell>
          <cell r="E380">
            <v>4</v>
          </cell>
          <cell r="F380">
            <v>60</v>
          </cell>
          <cell r="G380">
            <v>56</v>
          </cell>
          <cell r="H380">
            <v>7</v>
          </cell>
          <cell r="I380">
            <v>10</v>
          </cell>
        </row>
        <row r="381">
          <cell r="B381" t="str">
            <v>ООС-0104-001060</v>
          </cell>
          <cell r="C381" t="str">
            <v>Сис. Блок HPD230m</v>
          </cell>
          <cell r="D381">
            <v>38244</v>
          </cell>
          <cell r="E381">
            <v>4</v>
          </cell>
          <cell r="F381">
            <v>60</v>
          </cell>
          <cell r="G381">
            <v>56</v>
          </cell>
          <cell r="H381">
            <v>7</v>
          </cell>
          <cell r="I381">
            <v>10</v>
          </cell>
        </row>
        <row r="382">
          <cell r="B382" t="str">
            <v>ООС-0104-000752</v>
          </cell>
          <cell r="C382" t="str">
            <v>Тепловая пушка</v>
          </cell>
          <cell r="D382">
            <v>37622</v>
          </cell>
          <cell r="E382">
            <v>24</v>
          </cell>
          <cell r="F382">
            <v>84</v>
          </cell>
          <cell r="G382">
            <v>60</v>
          </cell>
          <cell r="H382">
            <v>29</v>
          </cell>
          <cell r="I382">
            <v>60</v>
          </cell>
        </row>
        <row r="383">
          <cell r="B383" t="str">
            <v>ООС-0105-000377</v>
          </cell>
          <cell r="C383" t="str">
            <v>Карта мира</v>
          </cell>
          <cell r="D383">
            <v>37377</v>
          </cell>
          <cell r="E383">
            <v>32</v>
          </cell>
          <cell r="F383">
            <v>24</v>
          </cell>
          <cell r="G383">
            <v>0</v>
          </cell>
          <cell r="H383">
            <v>97</v>
          </cell>
          <cell r="I383">
            <v>60</v>
          </cell>
        </row>
        <row r="384">
          <cell r="B384" t="str">
            <v>ООС-0104-000389</v>
          </cell>
          <cell r="C384" t="str">
            <v>Монитор VeiG553</v>
          </cell>
          <cell r="D384">
            <v>37377</v>
          </cell>
          <cell r="E384">
            <v>32</v>
          </cell>
          <cell r="F384">
            <v>60</v>
          </cell>
          <cell r="G384">
            <v>28</v>
          </cell>
          <cell r="H384">
            <v>53</v>
          </cell>
          <cell r="I384">
            <v>60</v>
          </cell>
        </row>
        <row r="385">
          <cell r="B385" t="str">
            <v>ООС-0104-000396</v>
          </cell>
          <cell r="C385" t="str">
            <v>Сис. Блок VEi8</v>
          </cell>
          <cell r="D385">
            <v>37377</v>
          </cell>
          <cell r="E385">
            <v>32</v>
          </cell>
          <cell r="F385">
            <v>60</v>
          </cell>
          <cell r="G385">
            <v>28</v>
          </cell>
          <cell r="H385">
            <v>53</v>
          </cell>
          <cell r="I385">
            <v>60</v>
          </cell>
        </row>
        <row r="386">
          <cell r="B386" t="str">
            <v>ООС-0104-000458</v>
          </cell>
          <cell r="C386" t="str">
            <v>Тел Panasonic KT-ST15</v>
          </cell>
          <cell r="D386">
            <v>37165</v>
          </cell>
          <cell r="E386">
            <v>39</v>
          </cell>
          <cell r="F386">
            <v>60</v>
          </cell>
          <cell r="G386">
            <v>21</v>
          </cell>
          <cell r="H386">
            <v>65</v>
          </cell>
          <cell r="I386">
            <v>100</v>
          </cell>
        </row>
        <row r="389">
          <cell r="B389" t="str">
            <v>Срок полезного использования определен в соответствии с Постановлением Правительства РФ №1 от 01.01.2002г. "О классификации основных средств, включаемых в амортизационные группы"</v>
          </cell>
        </row>
        <row r="391">
          <cell r="B391" t="str">
            <v>Расчет физического износа произведен с использованием Методики Р-03112194-0376-98</v>
          </cell>
        </row>
      </sheetData>
      <sheetData sheetId="3">
        <row r="1">
          <cell r="B1" t="str">
            <v>Инвентарный номер</v>
          </cell>
          <cell r="C1" t="str">
            <v>Наименование</v>
          </cell>
          <cell r="D1" t="str">
            <v>Дата ввода в эксплуатацию</v>
          </cell>
          <cell r="E1" t="str">
            <v>Остаточная стоимость, руб.</v>
          </cell>
          <cell r="F1" t="str">
            <v>Стоимость воспроизводства (замещения), руб.</v>
          </cell>
          <cell r="G1" t="str">
            <v>Физический износ, %</v>
          </cell>
          <cell r="H1" t="str">
            <v>Функциональный износ, %</v>
          </cell>
          <cell r="I1" t="str">
            <v>Внешний износ, %</v>
          </cell>
          <cell r="J1" t="str">
            <v>Накопленный износ, %</v>
          </cell>
          <cell r="K1" t="str">
            <v>Рыночная стоимость, руб.</v>
          </cell>
          <cell r="L1" t="str">
            <v>Рыночная стоимость (округленная), руб.</v>
          </cell>
        </row>
        <row r="2">
          <cell r="B2" t="str">
            <v>ООС-0104-000004</v>
          </cell>
          <cell r="C2" t="str">
            <v>Кондиционер Toshiba</v>
          </cell>
          <cell r="D2">
            <v>35803</v>
          </cell>
          <cell r="E2">
            <v>8901.09</v>
          </cell>
          <cell r="F2">
            <v>21164</v>
          </cell>
          <cell r="G2">
            <v>97</v>
          </cell>
          <cell r="H2" t="str">
            <v>0</v>
          </cell>
          <cell r="I2" t="str">
            <v>0</v>
          </cell>
          <cell r="J2">
            <v>97</v>
          </cell>
          <cell r="K2">
            <v>635</v>
          </cell>
          <cell r="L2">
            <v>640</v>
          </cell>
        </row>
        <row r="3">
          <cell r="B3" t="str">
            <v>ООС-0104-000005</v>
          </cell>
          <cell r="C3" t="str">
            <v>Люлька строительная</v>
          </cell>
          <cell r="D3">
            <v>35921</v>
          </cell>
          <cell r="E3">
            <v>0</v>
          </cell>
          <cell r="F3">
            <v>169153</v>
          </cell>
          <cell r="G3">
            <v>97</v>
          </cell>
          <cell r="H3" t="str">
            <v>0</v>
          </cell>
          <cell r="I3" t="str">
            <v>0</v>
          </cell>
          <cell r="J3">
            <v>97</v>
          </cell>
          <cell r="K3">
            <v>5075</v>
          </cell>
          <cell r="L3">
            <v>5100</v>
          </cell>
        </row>
        <row r="4">
          <cell r="B4" t="str">
            <v>ООС-0104-000006</v>
          </cell>
          <cell r="C4" t="str">
            <v>Кондиционер Hitachi 09</v>
          </cell>
          <cell r="D4">
            <v>36010</v>
          </cell>
          <cell r="E4">
            <v>0</v>
          </cell>
          <cell r="F4">
            <v>23246</v>
          </cell>
          <cell r="G4">
            <v>92</v>
          </cell>
          <cell r="H4" t="str">
            <v>0</v>
          </cell>
          <cell r="I4" t="str">
            <v>0</v>
          </cell>
          <cell r="J4">
            <v>92</v>
          </cell>
          <cell r="K4">
            <v>1860</v>
          </cell>
          <cell r="L4">
            <v>1900</v>
          </cell>
        </row>
        <row r="5">
          <cell r="B5" t="str">
            <v>ООС-0104-000007</v>
          </cell>
          <cell r="C5" t="str">
            <v>Кондиционер Hitachi 09</v>
          </cell>
          <cell r="D5">
            <v>36010</v>
          </cell>
          <cell r="E5">
            <v>0</v>
          </cell>
          <cell r="F5">
            <v>23246</v>
          </cell>
          <cell r="G5">
            <v>92</v>
          </cell>
          <cell r="H5" t="str">
            <v>0</v>
          </cell>
          <cell r="I5" t="str">
            <v>0</v>
          </cell>
          <cell r="J5">
            <v>92</v>
          </cell>
          <cell r="K5">
            <v>1860</v>
          </cell>
          <cell r="L5">
            <v>1900</v>
          </cell>
        </row>
        <row r="6">
          <cell r="B6" t="str">
            <v>ООС-0104-000008</v>
          </cell>
          <cell r="C6" t="str">
            <v>Кондиционер Hitachi 09</v>
          </cell>
          <cell r="D6">
            <v>36010</v>
          </cell>
          <cell r="E6">
            <v>0</v>
          </cell>
          <cell r="F6">
            <v>23246</v>
          </cell>
          <cell r="G6">
            <v>92</v>
          </cell>
          <cell r="H6" t="str">
            <v>0</v>
          </cell>
          <cell r="I6" t="str">
            <v>0</v>
          </cell>
          <cell r="J6">
            <v>92</v>
          </cell>
          <cell r="K6">
            <v>1860</v>
          </cell>
          <cell r="L6">
            <v>1900</v>
          </cell>
        </row>
        <row r="7">
          <cell r="B7" t="str">
            <v>ООС-0104-000009</v>
          </cell>
          <cell r="C7" t="str">
            <v>Кондиционер Hitashi 5142</v>
          </cell>
          <cell r="D7">
            <v>36010</v>
          </cell>
          <cell r="E7">
            <v>3098.86</v>
          </cell>
          <cell r="F7">
            <v>23186</v>
          </cell>
          <cell r="G7">
            <v>92</v>
          </cell>
          <cell r="H7" t="str">
            <v>0</v>
          </cell>
          <cell r="I7" t="str">
            <v>0</v>
          </cell>
          <cell r="J7">
            <v>92</v>
          </cell>
          <cell r="K7">
            <v>1855</v>
          </cell>
          <cell r="L7">
            <v>1900</v>
          </cell>
        </row>
        <row r="8">
          <cell r="B8" t="str">
            <v>ООС-0104-000010</v>
          </cell>
          <cell r="C8" t="str">
            <v>Оборуд. Для пров. Конф.</v>
          </cell>
          <cell r="D8">
            <v>36013</v>
          </cell>
          <cell r="E8">
            <v>381749.66</v>
          </cell>
          <cell r="F8">
            <v>320874</v>
          </cell>
          <cell r="G8">
            <v>92</v>
          </cell>
          <cell r="H8" t="str">
            <v>0</v>
          </cell>
          <cell r="I8" t="str">
            <v>0</v>
          </cell>
          <cell r="J8">
            <v>92</v>
          </cell>
          <cell r="K8">
            <v>25670</v>
          </cell>
          <cell r="L8">
            <v>26000</v>
          </cell>
        </row>
        <row r="9">
          <cell r="B9" t="str">
            <v>ООС-0104-000011</v>
          </cell>
          <cell r="C9" t="str">
            <v>Сис. Селек. Связи</v>
          </cell>
          <cell r="D9">
            <v>36013</v>
          </cell>
          <cell r="E9">
            <v>371171.05</v>
          </cell>
          <cell r="F9">
            <v>293220</v>
          </cell>
          <cell r="G9">
            <v>92</v>
          </cell>
          <cell r="H9" t="str">
            <v>0</v>
          </cell>
          <cell r="I9" t="str">
            <v>0</v>
          </cell>
          <cell r="J9">
            <v>92</v>
          </cell>
          <cell r="K9">
            <v>23458</v>
          </cell>
          <cell r="L9">
            <v>23000</v>
          </cell>
        </row>
        <row r="10">
          <cell r="B10" t="str">
            <v>ООС-0104-000013</v>
          </cell>
          <cell r="C10" t="str">
            <v>Тепловая установка</v>
          </cell>
          <cell r="D10">
            <v>36101</v>
          </cell>
          <cell r="E10">
            <v>37192.46</v>
          </cell>
          <cell r="F10">
            <v>25397</v>
          </cell>
          <cell r="G10">
            <v>88</v>
          </cell>
          <cell r="H10" t="str">
            <v>0</v>
          </cell>
          <cell r="I10" t="str">
            <v>0</v>
          </cell>
          <cell r="J10">
            <v>88</v>
          </cell>
          <cell r="K10">
            <v>3048</v>
          </cell>
          <cell r="L10">
            <v>3000</v>
          </cell>
        </row>
        <row r="11">
          <cell r="B11" t="str">
            <v>ООС-0104-000094</v>
          </cell>
          <cell r="C11" t="str">
            <v>Зарядное устройство</v>
          </cell>
          <cell r="D11">
            <v>36255</v>
          </cell>
          <cell r="E11">
            <v>5707.31</v>
          </cell>
          <cell r="F11">
            <v>3504</v>
          </cell>
          <cell r="G11">
            <v>96</v>
          </cell>
          <cell r="H11" t="str">
            <v>0</v>
          </cell>
          <cell r="I11" t="str">
            <v>0</v>
          </cell>
          <cell r="J11">
            <v>96</v>
          </cell>
          <cell r="K11">
            <v>140</v>
          </cell>
          <cell r="L11">
            <v>140</v>
          </cell>
        </row>
        <row r="12">
          <cell r="B12" t="str">
            <v>ООС-0104-000095</v>
          </cell>
          <cell r="C12" t="str">
            <v>Зарядное устройство</v>
          </cell>
          <cell r="D12">
            <v>36255</v>
          </cell>
          <cell r="E12">
            <v>5707.31</v>
          </cell>
          <cell r="F12">
            <v>3504</v>
          </cell>
          <cell r="G12">
            <v>96</v>
          </cell>
          <cell r="H12" t="str">
            <v>0</v>
          </cell>
          <cell r="I12" t="str">
            <v>0</v>
          </cell>
          <cell r="J12">
            <v>96</v>
          </cell>
          <cell r="K12">
            <v>140</v>
          </cell>
          <cell r="L12">
            <v>140</v>
          </cell>
        </row>
        <row r="13">
          <cell r="B13" t="str">
            <v>ООС-0104-000096</v>
          </cell>
          <cell r="C13" t="str">
            <v>Зарядное устройство</v>
          </cell>
          <cell r="D13">
            <v>36255</v>
          </cell>
          <cell r="E13">
            <v>5707.31</v>
          </cell>
          <cell r="F13">
            <v>3504</v>
          </cell>
          <cell r="G13">
            <v>96</v>
          </cell>
          <cell r="H13" t="str">
            <v>0</v>
          </cell>
          <cell r="I13" t="str">
            <v>0</v>
          </cell>
          <cell r="J13">
            <v>96</v>
          </cell>
          <cell r="K13">
            <v>140</v>
          </cell>
          <cell r="L13">
            <v>140</v>
          </cell>
        </row>
        <row r="14">
          <cell r="B14" t="str">
            <v>ООС-0104-000097</v>
          </cell>
          <cell r="C14" t="str">
            <v>Зарядное устройство</v>
          </cell>
          <cell r="D14">
            <v>36255</v>
          </cell>
          <cell r="E14">
            <v>5707.31</v>
          </cell>
          <cell r="F14">
            <v>3504</v>
          </cell>
          <cell r="G14">
            <v>96</v>
          </cell>
          <cell r="H14" t="str">
            <v>0</v>
          </cell>
          <cell r="I14" t="str">
            <v>0</v>
          </cell>
          <cell r="J14">
            <v>96</v>
          </cell>
          <cell r="K14">
            <v>140</v>
          </cell>
          <cell r="L14">
            <v>140</v>
          </cell>
        </row>
        <row r="15">
          <cell r="B15" t="str">
            <v>ООС-0104-000098</v>
          </cell>
          <cell r="C15" t="str">
            <v>Зарядное устройство</v>
          </cell>
          <cell r="D15">
            <v>36255</v>
          </cell>
          <cell r="E15">
            <v>5707.31</v>
          </cell>
          <cell r="F15">
            <v>3504</v>
          </cell>
          <cell r="G15">
            <v>96</v>
          </cell>
          <cell r="H15" t="str">
            <v>0</v>
          </cell>
          <cell r="I15" t="str">
            <v>0</v>
          </cell>
          <cell r="J15">
            <v>96</v>
          </cell>
          <cell r="K15">
            <v>140</v>
          </cell>
          <cell r="L15">
            <v>140</v>
          </cell>
        </row>
        <row r="16">
          <cell r="B16" t="str">
            <v>ООС-0104-000106</v>
          </cell>
          <cell r="C16" t="str">
            <v>Принтер HPLj2100</v>
          </cell>
          <cell r="D16">
            <v>36374</v>
          </cell>
          <cell r="E16">
            <v>4706.17</v>
          </cell>
          <cell r="F16">
            <v>20339</v>
          </cell>
          <cell r="G16">
            <v>97</v>
          </cell>
          <cell r="H16" t="str">
            <v>0</v>
          </cell>
          <cell r="I16" t="str">
            <v>0</v>
          </cell>
          <cell r="J16">
            <v>97</v>
          </cell>
          <cell r="K16">
            <v>610</v>
          </cell>
          <cell r="L16">
            <v>610</v>
          </cell>
        </row>
        <row r="17">
          <cell r="B17" t="str">
            <v>ООС-0104-000137</v>
          </cell>
          <cell r="C17" t="str">
            <v>Системный блок Vei8</v>
          </cell>
          <cell r="D17">
            <v>35885</v>
          </cell>
          <cell r="E17">
            <v>0</v>
          </cell>
          <cell r="F17">
            <v>24009</v>
          </cell>
          <cell r="G17">
            <v>97</v>
          </cell>
          <cell r="H17" t="str">
            <v>0</v>
          </cell>
          <cell r="I17" t="str">
            <v>0</v>
          </cell>
          <cell r="J17">
            <v>97</v>
          </cell>
          <cell r="K17">
            <v>720</v>
          </cell>
          <cell r="L17">
            <v>720</v>
          </cell>
        </row>
        <row r="18">
          <cell r="B18" t="str">
            <v>ООС-0104-000145</v>
          </cell>
          <cell r="C18" t="str">
            <v>Коппир. Апп. Ricon5832</v>
          </cell>
          <cell r="D18">
            <v>35937</v>
          </cell>
          <cell r="E18">
            <v>3515.82</v>
          </cell>
          <cell r="F18">
            <v>8231</v>
          </cell>
          <cell r="G18">
            <v>97</v>
          </cell>
          <cell r="H18" t="str">
            <v>0</v>
          </cell>
          <cell r="I18" t="str">
            <v>0</v>
          </cell>
          <cell r="J18">
            <v>97</v>
          </cell>
          <cell r="K18">
            <v>247</v>
          </cell>
          <cell r="L18">
            <v>250</v>
          </cell>
        </row>
        <row r="19">
          <cell r="B19" t="str">
            <v>ООС-0104-000150</v>
          </cell>
          <cell r="C19" t="str">
            <v>Монитор VP140</v>
          </cell>
          <cell r="D19">
            <v>35957</v>
          </cell>
          <cell r="E19">
            <v>1068.05</v>
          </cell>
          <cell r="F19">
            <v>6114</v>
          </cell>
          <cell r="G19">
            <v>97</v>
          </cell>
          <cell r="H19" t="str">
            <v>0</v>
          </cell>
          <cell r="I19" t="str">
            <v>0</v>
          </cell>
          <cell r="J19">
            <v>97</v>
          </cell>
          <cell r="K19">
            <v>183</v>
          </cell>
          <cell r="L19">
            <v>180</v>
          </cell>
        </row>
        <row r="20">
          <cell r="B20" t="str">
            <v>ООС-0104-000152</v>
          </cell>
          <cell r="C20" t="str">
            <v>Монитор HPD8897</v>
          </cell>
          <cell r="D20">
            <v>35969</v>
          </cell>
          <cell r="E20">
            <v>1771.68</v>
          </cell>
          <cell r="F20">
            <v>5808</v>
          </cell>
          <cell r="G20">
            <v>97</v>
          </cell>
          <cell r="H20" t="str">
            <v>0</v>
          </cell>
          <cell r="I20" t="str">
            <v>0</v>
          </cell>
          <cell r="J20">
            <v>97</v>
          </cell>
          <cell r="K20">
            <v>174</v>
          </cell>
          <cell r="L20">
            <v>170</v>
          </cell>
        </row>
        <row r="21">
          <cell r="B21" t="str">
            <v>ООС-0104-000155</v>
          </cell>
          <cell r="C21" t="str">
            <v>Коппир. Апп.Xerox5437</v>
          </cell>
          <cell r="D21">
            <v>36000</v>
          </cell>
          <cell r="E21">
            <v>6717.52</v>
          </cell>
          <cell r="F21">
            <v>7415</v>
          </cell>
          <cell r="G21">
            <v>97</v>
          </cell>
          <cell r="H21" t="str">
            <v>0</v>
          </cell>
          <cell r="I21" t="str">
            <v>0</v>
          </cell>
          <cell r="J21">
            <v>97</v>
          </cell>
          <cell r="K21">
            <v>222</v>
          </cell>
          <cell r="L21">
            <v>220</v>
          </cell>
        </row>
        <row r="22">
          <cell r="B22" t="str">
            <v>ООС-0104-000170</v>
          </cell>
          <cell r="C22" t="str">
            <v>Экран 274*366 спультом</v>
          </cell>
          <cell r="D22">
            <v>36566</v>
          </cell>
          <cell r="E22">
            <v>30635.84</v>
          </cell>
          <cell r="F22">
            <v>15614</v>
          </cell>
          <cell r="G22">
            <v>97</v>
          </cell>
          <cell r="H22" t="str">
            <v>0</v>
          </cell>
          <cell r="I22" t="str">
            <v>0</v>
          </cell>
          <cell r="J22">
            <v>97</v>
          </cell>
          <cell r="K22">
            <v>468</v>
          </cell>
          <cell r="L22">
            <v>470</v>
          </cell>
        </row>
        <row r="23">
          <cell r="B23" t="str">
            <v>ООС-0104-000226</v>
          </cell>
          <cell r="C23" t="str">
            <v>Копп. Апп.Rex-rotaru8715Z</v>
          </cell>
          <cell r="D23">
            <v>36699</v>
          </cell>
          <cell r="E23">
            <v>9474.7800000000007</v>
          </cell>
          <cell r="F23">
            <v>15820</v>
          </cell>
          <cell r="G23">
            <v>90</v>
          </cell>
          <cell r="H23" t="str">
            <v>0</v>
          </cell>
          <cell r="I23" t="str">
            <v>0</v>
          </cell>
          <cell r="J23">
            <v>90</v>
          </cell>
          <cell r="K23">
            <v>1582</v>
          </cell>
          <cell r="L23">
            <v>1600</v>
          </cell>
        </row>
        <row r="24">
          <cell r="B24" t="str">
            <v>ООС-0104-000460</v>
          </cell>
          <cell r="C24" t="str">
            <v>Panasonic KT-ST15</v>
          </cell>
          <cell r="D24">
            <v>37165</v>
          </cell>
          <cell r="E24">
            <v>0</v>
          </cell>
          <cell r="F24">
            <v>1014</v>
          </cell>
          <cell r="G24">
            <v>65</v>
          </cell>
          <cell r="H24" t="str">
            <v>0</v>
          </cell>
          <cell r="I24" t="str">
            <v>0</v>
          </cell>
          <cell r="J24">
            <v>65</v>
          </cell>
          <cell r="K24">
            <v>355</v>
          </cell>
          <cell r="L24">
            <v>360</v>
          </cell>
        </row>
        <row r="25">
          <cell r="B25" t="str">
            <v>ООС-0104-000461</v>
          </cell>
          <cell r="C25" t="str">
            <v>Panasonic KT-ST15</v>
          </cell>
          <cell r="D25">
            <v>37165</v>
          </cell>
          <cell r="E25">
            <v>0</v>
          </cell>
          <cell r="F25">
            <v>1014</v>
          </cell>
          <cell r="G25">
            <v>65</v>
          </cell>
          <cell r="H25" t="str">
            <v>0</v>
          </cell>
          <cell r="I25" t="str">
            <v>0</v>
          </cell>
          <cell r="J25">
            <v>65</v>
          </cell>
          <cell r="K25">
            <v>355</v>
          </cell>
          <cell r="L25">
            <v>360</v>
          </cell>
        </row>
        <row r="26">
          <cell r="B26" t="str">
            <v>ООС-0104-000547</v>
          </cell>
          <cell r="C26" t="str">
            <v>Факс Xerox 7041</v>
          </cell>
          <cell r="D26">
            <v>37316</v>
          </cell>
          <cell r="E26">
            <v>9253.3700000000008</v>
          </cell>
          <cell r="F26">
            <v>6151</v>
          </cell>
          <cell r="G26">
            <v>57</v>
          </cell>
          <cell r="H26" t="str">
            <v>0</v>
          </cell>
          <cell r="I26" t="str">
            <v>0</v>
          </cell>
          <cell r="J26">
            <v>57</v>
          </cell>
          <cell r="K26">
            <v>2645</v>
          </cell>
          <cell r="L26">
            <v>2600</v>
          </cell>
        </row>
        <row r="27">
          <cell r="B27" t="str">
            <v>ООС-0104-000558</v>
          </cell>
          <cell r="C27" t="str">
            <v>Факс MB8145</v>
          </cell>
          <cell r="D27">
            <v>37316</v>
          </cell>
          <cell r="E27">
            <v>72801.289999999994</v>
          </cell>
          <cell r="F27">
            <v>149153</v>
          </cell>
          <cell r="G27">
            <v>57</v>
          </cell>
          <cell r="H27" t="str">
            <v>0</v>
          </cell>
          <cell r="I27" t="str">
            <v>0</v>
          </cell>
          <cell r="J27">
            <v>57</v>
          </cell>
          <cell r="K27">
            <v>64136</v>
          </cell>
          <cell r="L27">
            <v>64000</v>
          </cell>
        </row>
        <row r="28">
          <cell r="B28" t="str">
            <v>ООС-0104-000559</v>
          </cell>
          <cell r="C28" t="str">
            <v>Ноутбук Satellite2805-S301</v>
          </cell>
          <cell r="D28">
            <v>37316</v>
          </cell>
          <cell r="E28">
            <v>16702.599999999999</v>
          </cell>
          <cell r="F28">
            <v>12228</v>
          </cell>
          <cell r="G28">
            <v>57</v>
          </cell>
          <cell r="H28" t="str">
            <v>0</v>
          </cell>
          <cell r="I28" t="str">
            <v>0</v>
          </cell>
          <cell r="J28">
            <v>57</v>
          </cell>
          <cell r="K28">
            <v>5258</v>
          </cell>
          <cell r="L28">
            <v>5300</v>
          </cell>
        </row>
        <row r="29">
          <cell r="B29" t="str">
            <v>ООС-0104-000560</v>
          </cell>
          <cell r="C29" t="str">
            <v>Ноутбук Satellite2100СDT</v>
          </cell>
          <cell r="D29">
            <v>37316</v>
          </cell>
          <cell r="E29">
            <v>16702.599999999999</v>
          </cell>
          <cell r="F29">
            <v>32099</v>
          </cell>
          <cell r="G29">
            <v>57</v>
          </cell>
          <cell r="H29" t="str">
            <v>0</v>
          </cell>
          <cell r="I29" t="str">
            <v>0</v>
          </cell>
          <cell r="J29">
            <v>57</v>
          </cell>
          <cell r="K29">
            <v>13803</v>
          </cell>
          <cell r="L29">
            <v>14000</v>
          </cell>
        </row>
        <row r="30">
          <cell r="B30" t="str">
            <v>ООС-0104-000563</v>
          </cell>
          <cell r="C30" t="str">
            <v>Сис. Блок VL420</v>
          </cell>
          <cell r="D30">
            <v>37316</v>
          </cell>
          <cell r="E30">
            <v>11491.04</v>
          </cell>
          <cell r="F30">
            <v>25374</v>
          </cell>
          <cell r="G30">
            <v>57</v>
          </cell>
          <cell r="H30" t="str">
            <v>0</v>
          </cell>
          <cell r="I30" t="str">
            <v>0</v>
          </cell>
          <cell r="J30">
            <v>57</v>
          </cell>
          <cell r="K30">
            <v>10911</v>
          </cell>
          <cell r="L30">
            <v>11000</v>
          </cell>
        </row>
        <row r="31">
          <cell r="B31" t="str">
            <v>ООС-0104-000571</v>
          </cell>
          <cell r="C31" t="str">
            <v>Телекоммуникац. Оборуд.</v>
          </cell>
          <cell r="D31">
            <v>37316</v>
          </cell>
          <cell r="E31">
            <v>2935783.57</v>
          </cell>
          <cell r="F31">
            <v>3716392</v>
          </cell>
          <cell r="G31">
            <v>28</v>
          </cell>
          <cell r="H31" t="str">
            <v>0</v>
          </cell>
          <cell r="I31" t="str">
            <v>0</v>
          </cell>
          <cell r="J31">
            <v>28</v>
          </cell>
          <cell r="K31">
            <v>2675802</v>
          </cell>
          <cell r="L31">
            <v>2676000</v>
          </cell>
        </row>
        <row r="32">
          <cell r="B32" t="str">
            <v>ООС-0104-000656</v>
          </cell>
          <cell r="C32" t="str">
            <v>Принтер HP Laser1100</v>
          </cell>
          <cell r="D32">
            <v>37622</v>
          </cell>
          <cell r="E32">
            <v>9627.73</v>
          </cell>
          <cell r="F32">
            <v>17306</v>
          </cell>
          <cell r="G32">
            <v>40</v>
          </cell>
          <cell r="H32" t="str">
            <v>0</v>
          </cell>
          <cell r="I32" t="str">
            <v>0</v>
          </cell>
          <cell r="J32">
            <v>40</v>
          </cell>
          <cell r="K32">
            <v>10384</v>
          </cell>
          <cell r="L32">
            <v>10000</v>
          </cell>
        </row>
        <row r="33">
          <cell r="B33" t="str">
            <v>ООС-0104-000658</v>
          </cell>
          <cell r="C33" t="str">
            <v>Сис. Блок Brio</v>
          </cell>
          <cell r="D33">
            <v>37622</v>
          </cell>
          <cell r="E33">
            <v>11122.23</v>
          </cell>
          <cell r="F33">
            <v>5879</v>
          </cell>
          <cell r="G33">
            <v>40</v>
          </cell>
          <cell r="H33" t="str">
            <v>0</v>
          </cell>
          <cell r="I33" t="str">
            <v>0</v>
          </cell>
          <cell r="J33">
            <v>40</v>
          </cell>
          <cell r="K33">
            <v>3527</v>
          </cell>
          <cell r="L33">
            <v>3500</v>
          </cell>
        </row>
        <row r="34">
          <cell r="B34" t="str">
            <v>ООС-0104-000659</v>
          </cell>
          <cell r="C34" t="str">
            <v>Сис. Блок Brio</v>
          </cell>
          <cell r="D34">
            <v>37622</v>
          </cell>
          <cell r="E34">
            <v>11122.23</v>
          </cell>
          <cell r="F34">
            <v>5879</v>
          </cell>
          <cell r="G34">
            <v>40</v>
          </cell>
          <cell r="H34" t="str">
            <v>0</v>
          </cell>
          <cell r="I34" t="str">
            <v>0</v>
          </cell>
          <cell r="J34">
            <v>40</v>
          </cell>
          <cell r="K34">
            <v>3527</v>
          </cell>
          <cell r="L34">
            <v>3500</v>
          </cell>
        </row>
        <row r="35">
          <cell r="B35" t="str">
            <v>ООС-0104-000660</v>
          </cell>
          <cell r="C35" t="str">
            <v>Сис. Блок Brio</v>
          </cell>
          <cell r="D35">
            <v>37622</v>
          </cell>
          <cell r="E35">
            <v>11122.42</v>
          </cell>
          <cell r="F35">
            <v>5879</v>
          </cell>
          <cell r="G35">
            <v>40</v>
          </cell>
          <cell r="H35" t="str">
            <v>0</v>
          </cell>
          <cell r="I35" t="str">
            <v>0</v>
          </cell>
          <cell r="J35">
            <v>40</v>
          </cell>
          <cell r="K35">
            <v>3527</v>
          </cell>
          <cell r="L35">
            <v>3500</v>
          </cell>
        </row>
        <row r="36">
          <cell r="B36" t="str">
            <v>ООС-0104-000661</v>
          </cell>
          <cell r="C36" t="str">
            <v>Сис. Блок Brio</v>
          </cell>
          <cell r="D36">
            <v>37622</v>
          </cell>
          <cell r="E36">
            <v>11122.22</v>
          </cell>
          <cell r="F36">
            <v>29395</v>
          </cell>
          <cell r="G36">
            <v>40</v>
          </cell>
          <cell r="H36" t="str">
            <v>0</v>
          </cell>
          <cell r="I36" t="str">
            <v>0</v>
          </cell>
          <cell r="J36">
            <v>40</v>
          </cell>
          <cell r="K36">
            <v>17637</v>
          </cell>
          <cell r="L36">
            <v>18000</v>
          </cell>
        </row>
        <row r="37">
          <cell r="B37" t="str">
            <v>ООС-0104-000662</v>
          </cell>
          <cell r="C37" t="str">
            <v>Кондиционер Samsung</v>
          </cell>
          <cell r="D37">
            <v>37622</v>
          </cell>
          <cell r="E37">
            <v>22023.37</v>
          </cell>
          <cell r="F37">
            <v>26338</v>
          </cell>
          <cell r="G37">
            <v>29</v>
          </cell>
          <cell r="H37" t="str">
            <v>0</v>
          </cell>
          <cell r="I37" t="str">
            <v>0</v>
          </cell>
          <cell r="J37">
            <v>29</v>
          </cell>
          <cell r="K37">
            <v>18700</v>
          </cell>
          <cell r="L37">
            <v>19000</v>
          </cell>
        </row>
        <row r="38">
          <cell r="B38" t="str">
            <v>ООС-0104-000663</v>
          </cell>
          <cell r="C38" t="str">
            <v>Кондиционер Samsung</v>
          </cell>
          <cell r="D38">
            <v>37622</v>
          </cell>
          <cell r="E38">
            <v>22023.37</v>
          </cell>
          <cell r="F38">
            <v>52676</v>
          </cell>
          <cell r="G38">
            <v>29</v>
          </cell>
          <cell r="H38" t="str">
            <v>0</v>
          </cell>
          <cell r="I38" t="str">
            <v>0</v>
          </cell>
          <cell r="J38">
            <v>29</v>
          </cell>
          <cell r="K38">
            <v>37400</v>
          </cell>
          <cell r="L38">
            <v>37000</v>
          </cell>
        </row>
        <row r="39">
          <cell r="B39" t="str">
            <v>ООС-0104-000664</v>
          </cell>
          <cell r="C39" t="str">
            <v>Кондиционер Samsung</v>
          </cell>
          <cell r="D39">
            <v>37622</v>
          </cell>
          <cell r="E39">
            <v>28876.6</v>
          </cell>
          <cell r="F39">
            <v>33458</v>
          </cell>
          <cell r="G39">
            <v>29</v>
          </cell>
          <cell r="H39" t="str">
            <v>0</v>
          </cell>
          <cell r="I39" t="str">
            <v>0</v>
          </cell>
          <cell r="J39">
            <v>29</v>
          </cell>
          <cell r="K39">
            <v>23755</v>
          </cell>
          <cell r="L39">
            <v>24000</v>
          </cell>
        </row>
        <row r="40">
          <cell r="B40" t="str">
            <v>ООС-0104-000665</v>
          </cell>
          <cell r="C40" t="str">
            <v>Кондиционер Samsung</v>
          </cell>
          <cell r="D40">
            <v>37622</v>
          </cell>
          <cell r="E40">
            <v>39236.21</v>
          </cell>
          <cell r="F40">
            <v>33458</v>
          </cell>
          <cell r="G40">
            <v>29</v>
          </cell>
          <cell r="H40" t="str">
            <v>0</v>
          </cell>
          <cell r="I40" t="str">
            <v>0</v>
          </cell>
          <cell r="J40">
            <v>29</v>
          </cell>
          <cell r="K40">
            <v>23755</v>
          </cell>
          <cell r="L40">
            <v>24000</v>
          </cell>
        </row>
        <row r="41">
          <cell r="B41" t="str">
            <v>ООС-0104-000666</v>
          </cell>
          <cell r="C41" t="str">
            <v>Кондиционер PX 800RC</v>
          </cell>
          <cell r="D41">
            <v>37622</v>
          </cell>
          <cell r="E41">
            <v>38279.9</v>
          </cell>
          <cell r="F41">
            <v>66916</v>
          </cell>
          <cell r="G41">
            <v>29</v>
          </cell>
          <cell r="H41" t="str">
            <v>0</v>
          </cell>
          <cell r="I41" t="str">
            <v>0</v>
          </cell>
          <cell r="J41">
            <v>29</v>
          </cell>
          <cell r="K41">
            <v>47510</v>
          </cell>
          <cell r="L41">
            <v>48000</v>
          </cell>
        </row>
        <row r="42">
          <cell r="B42" t="str">
            <v>ООС-0104-000680</v>
          </cell>
          <cell r="C42" t="str">
            <v>Копп. Апп. MB5651</v>
          </cell>
          <cell r="D42">
            <v>37681</v>
          </cell>
          <cell r="E42">
            <v>27430.04</v>
          </cell>
          <cell r="F42">
            <v>28807</v>
          </cell>
          <cell r="G42">
            <v>37</v>
          </cell>
          <cell r="H42" t="str">
            <v>0</v>
          </cell>
          <cell r="I42" t="str">
            <v>0</v>
          </cell>
          <cell r="J42">
            <v>37</v>
          </cell>
          <cell r="K42">
            <v>18148</v>
          </cell>
          <cell r="L42">
            <v>18000</v>
          </cell>
        </row>
        <row r="43">
          <cell r="B43" t="str">
            <v>ООС-0104-000687</v>
          </cell>
          <cell r="C43" t="str">
            <v>Сис. Блок HP Ve5</v>
          </cell>
          <cell r="D43">
            <v>37622</v>
          </cell>
          <cell r="E43">
            <v>6565.25</v>
          </cell>
          <cell r="F43">
            <v>16955</v>
          </cell>
          <cell r="G43">
            <v>40</v>
          </cell>
          <cell r="H43" t="str">
            <v>0</v>
          </cell>
          <cell r="I43" t="str">
            <v>0</v>
          </cell>
          <cell r="J43">
            <v>40</v>
          </cell>
          <cell r="K43">
            <v>10173</v>
          </cell>
          <cell r="L43">
            <v>10000</v>
          </cell>
        </row>
        <row r="44">
          <cell r="B44" t="str">
            <v>ООС-0104-000688</v>
          </cell>
          <cell r="C44" t="str">
            <v>Сис. Блок HP Ve5D5602</v>
          </cell>
          <cell r="D44">
            <v>37622</v>
          </cell>
          <cell r="E44">
            <v>5656.77</v>
          </cell>
          <cell r="F44">
            <v>16955</v>
          </cell>
          <cell r="G44">
            <v>40</v>
          </cell>
          <cell r="H44" t="str">
            <v>0</v>
          </cell>
          <cell r="I44" t="str">
            <v>0</v>
          </cell>
          <cell r="J44">
            <v>40</v>
          </cell>
          <cell r="K44">
            <v>10173</v>
          </cell>
          <cell r="L44">
            <v>10000</v>
          </cell>
        </row>
        <row r="45">
          <cell r="B45" t="str">
            <v>ООС-0104-000689</v>
          </cell>
          <cell r="C45" t="str">
            <v>Сис. Блок HP Vei8</v>
          </cell>
          <cell r="D45">
            <v>37622</v>
          </cell>
          <cell r="E45">
            <v>12758.86</v>
          </cell>
          <cell r="F45">
            <v>24009</v>
          </cell>
          <cell r="G45">
            <v>40</v>
          </cell>
          <cell r="H45" t="str">
            <v>0</v>
          </cell>
          <cell r="I45" t="str">
            <v>0</v>
          </cell>
          <cell r="J45">
            <v>40</v>
          </cell>
          <cell r="K45">
            <v>14405</v>
          </cell>
          <cell r="L45">
            <v>14000</v>
          </cell>
        </row>
        <row r="46">
          <cell r="B46" t="str">
            <v>ООС-0104-000690</v>
          </cell>
          <cell r="C46" t="str">
            <v>Сис. Блок HP Vei8</v>
          </cell>
          <cell r="D46">
            <v>37622</v>
          </cell>
          <cell r="E46">
            <v>7650.02</v>
          </cell>
          <cell r="F46">
            <v>24009</v>
          </cell>
          <cell r="G46">
            <v>40</v>
          </cell>
          <cell r="H46" t="str">
            <v>0</v>
          </cell>
          <cell r="I46" t="str">
            <v>0</v>
          </cell>
          <cell r="J46">
            <v>40</v>
          </cell>
          <cell r="K46">
            <v>14405</v>
          </cell>
          <cell r="L46">
            <v>14000</v>
          </cell>
        </row>
        <row r="47">
          <cell r="B47" t="str">
            <v>ООС-0104-000691</v>
          </cell>
          <cell r="C47" t="str">
            <v>Сканер HP4300</v>
          </cell>
          <cell r="D47">
            <v>37622</v>
          </cell>
          <cell r="E47">
            <v>3965.04</v>
          </cell>
          <cell r="F47">
            <v>3481</v>
          </cell>
          <cell r="G47">
            <v>40</v>
          </cell>
          <cell r="H47" t="str">
            <v>0</v>
          </cell>
          <cell r="I47" t="str">
            <v>0</v>
          </cell>
          <cell r="J47">
            <v>40</v>
          </cell>
          <cell r="K47">
            <v>2089</v>
          </cell>
          <cell r="L47">
            <v>2100</v>
          </cell>
        </row>
        <row r="48">
          <cell r="B48" t="str">
            <v>ООС-0104-000692</v>
          </cell>
          <cell r="C48" t="str">
            <v>Сис. Блок с монит. HPLC3</v>
          </cell>
          <cell r="D48">
            <v>37622</v>
          </cell>
          <cell r="E48">
            <v>17280.259999999998</v>
          </cell>
          <cell r="F48">
            <v>23069</v>
          </cell>
          <cell r="G48">
            <v>40</v>
          </cell>
          <cell r="H48" t="str">
            <v>0</v>
          </cell>
          <cell r="I48" t="str">
            <v>0</v>
          </cell>
          <cell r="J48">
            <v>40</v>
          </cell>
          <cell r="K48">
            <v>13841</v>
          </cell>
          <cell r="L48">
            <v>14000</v>
          </cell>
        </row>
        <row r="49">
          <cell r="B49" t="str">
            <v>ООС-0104-000693</v>
          </cell>
          <cell r="C49" t="str">
            <v>Модем HPVL400</v>
          </cell>
          <cell r="D49">
            <v>37622</v>
          </cell>
          <cell r="E49">
            <v>13914.36</v>
          </cell>
          <cell r="F49">
            <v>28064</v>
          </cell>
          <cell r="G49">
            <v>40</v>
          </cell>
          <cell r="H49" t="str">
            <v>0</v>
          </cell>
          <cell r="I49" t="str">
            <v>0</v>
          </cell>
          <cell r="J49">
            <v>40</v>
          </cell>
          <cell r="K49">
            <v>16838</v>
          </cell>
          <cell r="L49">
            <v>17000</v>
          </cell>
        </row>
        <row r="50">
          <cell r="B50" t="str">
            <v>ООС-0104-000695</v>
          </cell>
          <cell r="C50" t="str">
            <v>Сис. Блок VL410</v>
          </cell>
          <cell r="D50">
            <v>37622</v>
          </cell>
          <cell r="E50">
            <v>10165.31</v>
          </cell>
          <cell r="F50">
            <v>19894</v>
          </cell>
          <cell r="G50">
            <v>40</v>
          </cell>
          <cell r="H50" t="str">
            <v>0</v>
          </cell>
          <cell r="I50" t="str">
            <v>0</v>
          </cell>
          <cell r="J50">
            <v>40</v>
          </cell>
          <cell r="K50">
            <v>11936</v>
          </cell>
          <cell r="L50">
            <v>12000</v>
          </cell>
        </row>
        <row r="51">
          <cell r="B51" t="str">
            <v>ООС-0104-000696</v>
          </cell>
          <cell r="C51" t="str">
            <v>Сис. Блок VL410</v>
          </cell>
          <cell r="D51">
            <v>37622</v>
          </cell>
          <cell r="E51">
            <v>9989.0300000000007</v>
          </cell>
          <cell r="F51">
            <v>19894</v>
          </cell>
          <cell r="G51">
            <v>40</v>
          </cell>
          <cell r="H51" t="str">
            <v>0</v>
          </cell>
          <cell r="I51" t="str">
            <v>0</v>
          </cell>
          <cell r="J51">
            <v>40</v>
          </cell>
          <cell r="K51">
            <v>11936</v>
          </cell>
          <cell r="L51">
            <v>12000</v>
          </cell>
        </row>
        <row r="52">
          <cell r="B52" t="str">
            <v>ООС-0104-000700</v>
          </cell>
          <cell r="C52" t="str">
            <v>Сервер HP Lc3</v>
          </cell>
          <cell r="D52">
            <v>37681</v>
          </cell>
          <cell r="E52">
            <v>38448.69</v>
          </cell>
          <cell r="F52">
            <v>25844</v>
          </cell>
          <cell r="G52">
            <v>37</v>
          </cell>
          <cell r="H52" t="str">
            <v>0</v>
          </cell>
          <cell r="I52" t="str">
            <v>0</v>
          </cell>
          <cell r="J52">
            <v>37</v>
          </cell>
          <cell r="K52">
            <v>16282</v>
          </cell>
          <cell r="L52">
            <v>16000</v>
          </cell>
        </row>
        <row r="53">
          <cell r="B53" t="str">
            <v>ООС-0104-000717</v>
          </cell>
          <cell r="C53" t="str">
            <v>Мобил. Тел. EricssonT68</v>
          </cell>
          <cell r="D53">
            <v>37622</v>
          </cell>
          <cell r="E53">
            <v>9845.09</v>
          </cell>
          <cell r="F53">
            <v>4660</v>
          </cell>
          <cell r="G53">
            <v>50</v>
          </cell>
          <cell r="H53" t="str">
            <v>0</v>
          </cell>
          <cell r="I53" t="str">
            <v>0</v>
          </cell>
          <cell r="J53">
            <v>50</v>
          </cell>
          <cell r="K53">
            <v>2330</v>
          </cell>
          <cell r="L53">
            <v>2300</v>
          </cell>
        </row>
        <row r="54">
          <cell r="B54" t="str">
            <v>ООС-0104-000723</v>
          </cell>
          <cell r="C54" t="str">
            <v>Мон.+сис. Блок HPD8897</v>
          </cell>
          <cell r="D54">
            <v>37622</v>
          </cell>
          <cell r="E54">
            <v>12063.83</v>
          </cell>
          <cell r="F54">
            <v>16955</v>
          </cell>
          <cell r="G54">
            <v>40</v>
          </cell>
          <cell r="H54" t="str">
            <v>0</v>
          </cell>
          <cell r="I54" t="str">
            <v>0</v>
          </cell>
          <cell r="J54">
            <v>40</v>
          </cell>
          <cell r="K54">
            <v>10173</v>
          </cell>
          <cell r="L54">
            <v>10000</v>
          </cell>
        </row>
        <row r="55">
          <cell r="B55" t="str">
            <v>ООС-0104-000727</v>
          </cell>
          <cell r="C55" t="str">
            <v>Факс MB9410</v>
          </cell>
          <cell r="D55">
            <v>37622</v>
          </cell>
          <cell r="E55">
            <v>21053.89</v>
          </cell>
          <cell r="F55">
            <v>23550</v>
          </cell>
          <cell r="G55">
            <v>40</v>
          </cell>
          <cell r="H55" t="str">
            <v>0</v>
          </cell>
          <cell r="I55" t="str">
            <v>0</v>
          </cell>
          <cell r="J55">
            <v>40</v>
          </cell>
          <cell r="K55">
            <v>14130</v>
          </cell>
          <cell r="L55">
            <v>14000</v>
          </cell>
        </row>
        <row r="56">
          <cell r="B56" t="str">
            <v>ООС-0104-000737</v>
          </cell>
          <cell r="C56" t="str">
            <v>Компьютер 1 Щулькина</v>
          </cell>
          <cell r="D56">
            <v>37622</v>
          </cell>
          <cell r="E56">
            <v>6740.51</v>
          </cell>
          <cell r="F56">
            <v>15097</v>
          </cell>
          <cell r="G56">
            <v>40</v>
          </cell>
          <cell r="H56" t="str">
            <v>0</v>
          </cell>
          <cell r="I56" t="str">
            <v>0</v>
          </cell>
          <cell r="J56">
            <v>40</v>
          </cell>
          <cell r="K56">
            <v>9058</v>
          </cell>
          <cell r="L56">
            <v>9100</v>
          </cell>
        </row>
        <row r="57">
          <cell r="B57" t="str">
            <v>ООС-0104-000738</v>
          </cell>
          <cell r="C57" t="str">
            <v>Компьютер 2 Черная</v>
          </cell>
          <cell r="D57">
            <v>37622</v>
          </cell>
          <cell r="E57">
            <v>5754.35</v>
          </cell>
          <cell r="F57">
            <v>15097</v>
          </cell>
          <cell r="G57">
            <v>40</v>
          </cell>
          <cell r="H57" t="str">
            <v>0</v>
          </cell>
          <cell r="I57" t="str">
            <v>0</v>
          </cell>
          <cell r="J57">
            <v>40</v>
          </cell>
          <cell r="K57">
            <v>9058</v>
          </cell>
          <cell r="L57">
            <v>9100</v>
          </cell>
        </row>
        <row r="58">
          <cell r="B58" t="str">
            <v>ООС-0104-000739</v>
          </cell>
          <cell r="C58" t="str">
            <v>Компьютер 3 Попеску</v>
          </cell>
          <cell r="D58">
            <v>37622</v>
          </cell>
          <cell r="E58">
            <v>6393.39</v>
          </cell>
          <cell r="F58">
            <v>15097</v>
          </cell>
          <cell r="G58">
            <v>40</v>
          </cell>
          <cell r="H58" t="str">
            <v>0</v>
          </cell>
          <cell r="I58" t="str">
            <v>0</v>
          </cell>
          <cell r="J58">
            <v>40</v>
          </cell>
          <cell r="K58">
            <v>9058</v>
          </cell>
          <cell r="L58">
            <v>9100</v>
          </cell>
        </row>
        <row r="59">
          <cell r="B59" t="str">
            <v>ООС-0104-000740</v>
          </cell>
          <cell r="C59" t="str">
            <v>АТС ,Орская,25</v>
          </cell>
          <cell r="D59">
            <v>37622</v>
          </cell>
          <cell r="E59">
            <v>9643.24</v>
          </cell>
          <cell r="F59">
            <v>10700</v>
          </cell>
          <cell r="G59">
            <v>40</v>
          </cell>
          <cell r="H59" t="str">
            <v>0</v>
          </cell>
          <cell r="I59" t="str">
            <v>0</v>
          </cell>
          <cell r="J59">
            <v>40</v>
          </cell>
          <cell r="K59">
            <v>6420</v>
          </cell>
          <cell r="L59">
            <v>6400</v>
          </cell>
        </row>
        <row r="60">
          <cell r="B60" t="str">
            <v>ООС-0104-000742</v>
          </cell>
          <cell r="C60" t="str">
            <v>Копп. Апп.Ricon FT5832</v>
          </cell>
          <cell r="D60">
            <v>37622</v>
          </cell>
          <cell r="E60">
            <v>50721.43</v>
          </cell>
          <cell r="F60">
            <v>81365</v>
          </cell>
          <cell r="G60">
            <v>40</v>
          </cell>
          <cell r="H60" t="str">
            <v>0</v>
          </cell>
          <cell r="I60" t="str">
            <v>0</v>
          </cell>
          <cell r="J60">
            <v>40</v>
          </cell>
          <cell r="K60">
            <v>48819</v>
          </cell>
          <cell r="L60">
            <v>49000</v>
          </cell>
        </row>
        <row r="61">
          <cell r="B61" t="str">
            <v>ООС-0104-000746</v>
          </cell>
          <cell r="C61" t="str">
            <v>Сис. Блок HP-7</v>
          </cell>
          <cell r="D61">
            <v>37622</v>
          </cell>
          <cell r="E61">
            <v>9519.02</v>
          </cell>
          <cell r="F61">
            <v>58790</v>
          </cell>
          <cell r="G61">
            <v>40</v>
          </cell>
          <cell r="H61" t="str">
            <v>0</v>
          </cell>
          <cell r="I61" t="str">
            <v>0</v>
          </cell>
          <cell r="J61">
            <v>40</v>
          </cell>
          <cell r="K61">
            <v>35274</v>
          </cell>
          <cell r="L61">
            <v>35000</v>
          </cell>
        </row>
        <row r="62">
          <cell r="B62" t="str">
            <v>ООС-0104-000747</v>
          </cell>
          <cell r="C62" t="str">
            <v>Сервер HP E800</v>
          </cell>
          <cell r="D62">
            <v>37622</v>
          </cell>
          <cell r="E62">
            <v>30243.62</v>
          </cell>
          <cell r="F62">
            <v>16461</v>
          </cell>
          <cell r="G62">
            <v>40</v>
          </cell>
          <cell r="H62" t="str">
            <v>0</v>
          </cell>
          <cell r="I62" t="str">
            <v>0</v>
          </cell>
          <cell r="J62">
            <v>40</v>
          </cell>
          <cell r="K62">
            <v>9877</v>
          </cell>
          <cell r="L62">
            <v>9900</v>
          </cell>
        </row>
        <row r="63">
          <cell r="B63" t="str">
            <v>ООС-0104-000751</v>
          </cell>
          <cell r="C63" t="str">
            <v>Принтер MB206</v>
          </cell>
          <cell r="D63">
            <v>37622</v>
          </cell>
          <cell r="E63">
            <v>2528.25</v>
          </cell>
          <cell r="F63">
            <v>22576</v>
          </cell>
          <cell r="G63">
            <v>40</v>
          </cell>
          <cell r="H63" t="str">
            <v>0</v>
          </cell>
          <cell r="I63" t="str">
            <v>0</v>
          </cell>
          <cell r="J63">
            <v>40</v>
          </cell>
          <cell r="K63">
            <v>13546</v>
          </cell>
          <cell r="L63">
            <v>14000</v>
          </cell>
        </row>
        <row r="64">
          <cell r="B64" t="str">
            <v>ООС-0104-000753</v>
          </cell>
          <cell r="C64" t="str">
            <v>Копп. Апп. MB5615</v>
          </cell>
          <cell r="D64">
            <v>37622</v>
          </cell>
          <cell r="E64">
            <v>26875.96</v>
          </cell>
          <cell r="F64">
            <v>28807</v>
          </cell>
          <cell r="G64">
            <v>40</v>
          </cell>
          <cell r="H64" t="str">
            <v>0</v>
          </cell>
          <cell r="I64" t="str">
            <v>0</v>
          </cell>
          <cell r="J64">
            <v>40</v>
          </cell>
          <cell r="K64">
            <v>17284</v>
          </cell>
          <cell r="L64">
            <v>17000</v>
          </cell>
        </row>
        <row r="65">
          <cell r="B65" t="str">
            <v>ООС-0104-000754</v>
          </cell>
          <cell r="C65" t="str">
            <v>Монитор VS E651</v>
          </cell>
          <cell r="D65">
            <v>37622</v>
          </cell>
          <cell r="E65">
            <v>14759.4</v>
          </cell>
          <cell r="F65">
            <v>4021</v>
          </cell>
          <cell r="G65">
            <v>40</v>
          </cell>
          <cell r="H65" t="str">
            <v>0</v>
          </cell>
          <cell r="I65" t="str">
            <v>0</v>
          </cell>
          <cell r="J65">
            <v>40</v>
          </cell>
          <cell r="K65">
            <v>2413</v>
          </cell>
          <cell r="L65">
            <v>2400</v>
          </cell>
        </row>
        <row r="66">
          <cell r="B66" t="str">
            <v>ООС-0104-000757</v>
          </cell>
          <cell r="C66" t="str">
            <v>Принтер HP LJ1100</v>
          </cell>
          <cell r="D66">
            <v>37622</v>
          </cell>
          <cell r="E66">
            <v>4412.41</v>
          </cell>
          <cell r="F66">
            <v>8653</v>
          </cell>
          <cell r="G66">
            <v>40</v>
          </cell>
          <cell r="H66" t="str">
            <v>0</v>
          </cell>
          <cell r="I66" t="str">
            <v>0</v>
          </cell>
          <cell r="J66">
            <v>40</v>
          </cell>
          <cell r="K66">
            <v>5192</v>
          </cell>
          <cell r="L66">
            <v>5200</v>
          </cell>
        </row>
        <row r="67">
          <cell r="B67" t="str">
            <v xml:space="preserve">ООС-0104-000758 </v>
          </cell>
          <cell r="C67" t="str">
            <v>Принтер HP LaserJet4050</v>
          </cell>
          <cell r="D67">
            <v>37622</v>
          </cell>
          <cell r="E67">
            <v>17873.240000000002</v>
          </cell>
          <cell r="F67">
            <v>44522</v>
          </cell>
          <cell r="G67">
            <v>40</v>
          </cell>
          <cell r="H67" t="str">
            <v>0</v>
          </cell>
          <cell r="I67" t="str">
            <v>0</v>
          </cell>
          <cell r="J67">
            <v>40</v>
          </cell>
          <cell r="K67">
            <v>26713</v>
          </cell>
          <cell r="L67">
            <v>27000</v>
          </cell>
        </row>
        <row r="68">
          <cell r="B68" t="str">
            <v>ООС-0104-000780</v>
          </cell>
          <cell r="C68" t="str">
            <v>Антенна (южный)</v>
          </cell>
          <cell r="D68">
            <v>37681</v>
          </cell>
          <cell r="E68">
            <v>51629.73</v>
          </cell>
          <cell r="F68">
            <v>6819</v>
          </cell>
          <cell r="G68">
            <v>61</v>
          </cell>
          <cell r="H68" t="str">
            <v>0</v>
          </cell>
          <cell r="I68" t="str">
            <v>0</v>
          </cell>
          <cell r="J68">
            <v>61</v>
          </cell>
          <cell r="K68">
            <v>2659</v>
          </cell>
          <cell r="L68">
            <v>2700</v>
          </cell>
        </row>
        <row r="69">
          <cell r="B69" t="str">
            <v>ООС-0104-000783</v>
          </cell>
          <cell r="C69" t="str">
            <v>Сервер  HP LH Pro</v>
          </cell>
          <cell r="D69">
            <v>37681</v>
          </cell>
          <cell r="E69">
            <v>174502.65</v>
          </cell>
          <cell r="F69">
            <v>213560</v>
          </cell>
          <cell r="G69">
            <v>37</v>
          </cell>
          <cell r="H69" t="str">
            <v>0</v>
          </cell>
          <cell r="I69" t="str">
            <v>0</v>
          </cell>
          <cell r="J69">
            <v>37</v>
          </cell>
          <cell r="K69">
            <v>134543</v>
          </cell>
          <cell r="L69">
            <v>135000</v>
          </cell>
        </row>
        <row r="70">
          <cell r="B70" t="str">
            <v>ООС-0104-000785</v>
          </cell>
          <cell r="C70" t="str">
            <v>Сервер HP E800</v>
          </cell>
          <cell r="D70">
            <v>37681</v>
          </cell>
          <cell r="E70">
            <v>174502.65</v>
          </cell>
          <cell r="F70">
            <v>32922</v>
          </cell>
          <cell r="G70">
            <v>37</v>
          </cell>
          <cell r="H70" t="str">
            <v>0</v>
          </cell>
          <cell r="I70" t="str">
            <v>0</v>
          </cell>
          <cell r="J70">
            <v>37</v>
          </cell>
          <cell r="K70">
            <v>20741</v>
          </cell>
          <cell r="L70">
            <v>21000</v>
          </cell>
        </row>
        <row r="71">
          <cell r="B71" t="str">
            <v>ООС-0104-000837</v>
          </cell>
          <cell r="C71" t="str">
            <v>Принтер HPLJ2100</v>
          </cell>
          <cell r="D71">
            <v>37742</v>
          </cell>
          <cell r="E71">
            <v>8956.91</v>
          </cell>
          <cell r="F71">
            <v>20339</v>
          </cell>
          <cell r="G71">
            <v>33</v>
          </cell>
          <cell r="H71" t="str">
            <v>0</v>
          </cell>
          <cell r="I71" t="str">
            <v>0</v>
          </cell>
          <cell r="J71">
            <v>33</v>
          </cell>
          <cell r="K71">
            <v>13627</v>
          </cell>
          <cell r="L71">
            <v>14000</v>
          </cell>
        </row>
        <row r="72">
          <cell r="B72" t="str">
            <v>ООС-0104-000844</v>
          </cell>
          <cell r="C72" t="str">
            <v>Ноутбук Satellite2100СDT</v>
          </cell>
          <cell r="D72">
            <v>37742</v>
          </cell>
          <cell r="E72">
            <v>14575.65</v>
          </cell>
          <cell r="F72">
            <v>32099</v>
          </cell>
          <cell r="G72">
            <v>33</v>
          </cell>
          <cell r="H72" t="str">
            <v>0</v>
          </cell>
          <cell r="I72" t="str">
            <v>0</v>
          </cell>
          <cell r="J72">
            <v>33</v>
          </cell>
          <cell r="K72">
            <v>21506</v>
          </cell>
          <cell r="L72">
            <v>22000</v>
          </cell>
        </row>
        <row r="73">
          <cell r="B73" t="str">
            <v>ООС-0104-000846</v>
          </cell>
          <cell r="C73" t="str">
            <v>Сис. Блок Vei7</v>
          </cell>
          <cell r="D73">
            <v>37742</v>
          </cell>
          <cell r="E73">
            <v>7743.32</v>
          </cell>
          <cell r="F73">
            <v>16955</v>
          </cell>
          <cell r="G73">
            <v>33</v>
          </cell>
          <cell r="H73" t="str">
            <v>0</v>
          </cell>
          <cell r="I73" t="str">
            <v>0</v>
          </cell>
          <cell r="J73">
            <v>33</v>
          </cell>
          <cell r="K73">
            <v>11360</v>
          </cell>
          <cell r="L73">
            <v>11000</v>
          </cell>
        </row>
        <row r="74">
          <cell r="B74" t="str">
            <v>ООС-0104-000864</v>
          </cell>
          <cell r="C74" t="str">
            <v>Ноутбук Sat.5205-S505</v>
          </cell>
          <cell r="D74">
            <v>37811</v>
          </cell>
          <cell r="E74">
            <v>37926.160000000003</v>
          </cell>
          <cell r="F74">
            <v>32452</v>
          </cell>
          <cell r="G74">
            <v>30</v>
          </cell>
          <cell r="H74" t="str">
            <v>0</v>
          </cell>
          <cell r="I74" t="str">
            <v>0</v>
          </cell>
          <cell r="J74">
            <v>30</v>
          </cell>
          <cell r="K74">
            <v>22716</v>
          </cell>
          <cell r="L74">
            <v>23000</v>
          </cell>
        </row>
        <row r="75">
          <cell r="B75" t="str">
            <v>ООС-0104-000933</v>
          </cell>
          <cell r="C75" t="str">
            <v>Ноутбук Sat.5205-S705</v>
          </cell>
          <cell r="D75">
            <v>37935</v>
          </cell>
          <cell r="E75">
            <v>55557.71</v>
          </cell>
          <cell r="F75">
            <v>44681</v>
          </cell>
          <cell r="G75">
            <v>23</v>
          </cell>
          <cell r="H75" t="str">
            <v>0</v>
          </cell>
          <cell r="I75" t="str">
            <v>0</v>
          </cell>
          <cell r="J75">
            <v>23</v>
          </cell>
          <cell r="K75">
            <v>34404</v>
          </cell>
          <cell r="L75">
            <v>34000</v>
          </cell>
        </row>
        <row r="76">
          <cell r="B76" t="str">
            <v>ООС-0104-000983</v>
          </cell>
          <cell r="C76" t="str">
            <v xml:space="preserve">Компьютерная сеть </v>
          </cell>
          <cell r="D76">
            <v>38077</v>
          </cell>
          <cell r="E76">
            <v>214352.63</v>
          </cell>
          <cell r="F76">
            <v>165924</v>
          </cell>
          <cell r="G76">
            <v>15</v>
          </cell>
          <cell r="H76" t="str">
            <v>0</v>
          </cell>
          <cell r="I76" t="str">
            <v>0</v>
          </cell>
          <cell r="J76">
            <v>15</v>
          </cell>
          <cell r="K76">
            <v>141035</v>
          </cell>
          <cell r="L76">
            <v>141000</v>
          </cell>
        </row>
        <row r="77">
          <cell r="B77" t="str">
            <v>ООС-0104-000987</v>
          </cell>
          <cell r="C77" t="str">
            <v>Система ПС</v>
          </cell>
          <cell r="D77">
            <v>38077</v>
          </cell>
          <cell r="E77">
            <v>45846.14</v>
          </cell>
          <cell r="F77">
            <v>34614</v>
          </cell>
          <cell r="G77">
            <v>11</v>
          </cell>
          <cell r="H77" t="str">
            <v>0</v>
          </cell>
          <cell r="I77" t="str">
            <v>0</v>
          </cell>
          <cell r="J77">
            <v>11</v>
          </cell>
          <cell r="K77">
            <v>30806</v>
          </cell>
          <cell r="L77">
            <v>31000</v>
          </cell>
        </row>
        <row r="78">
          <cell r="B78" t="str">
            <v>ООС-0104-000988</v>
          </cell>
          <cell r="C78" t="str">
            <v>Система теленаблюдения</v>
          </cell>
          <cell r="D78">
            <v>38077</v>
          </cell>
          <cell r="E78">
            <v>46027.199999999997</v>
          </cell>
          <cell r="F78">
            <v>52087</v>
          </cell>
          <cell r="G78">
            <v>11</v>
          </cell>
          <cell r="H78" t="str">
            <v>0</v>
          </cell>
          <cell r="I78" t="str">
            <v>0</v>
          </cell>
          <cell r="J78">
            <v>11</v>
          </cell>
          <cell r="K78">
            <v>46357</v>
          </cell>
          <cell r="L78">
            <v>46000</v>
          </cell>
        </row>
        <row r="79">
          <cell r="B79" t="str">
            <v>ООС-0104-000989</v>
          </cell>
          <cell r="C79" t="str">
            <v>Система П (склады)</v>
          </cell>
          <cell r="D79">
            <v>38077</v>
          </cell>
          <cell r="E79">
            <v>46662.78</v>
          </cell>
          <cell r="F79">
            <v>34614</v>
          </cell>
          <cell r="G79">
            <v>11</v>
          </cell>
          <cell r="H79" t="str">
            <v>0</v>
          </cell>
          <cell r="I79" t="str">
            <v>0</v>
          </cell>
          <cell r="J79">
            <v>11</v>
          </cell>
          <cell r="K79">
            <v>30806</v>
          </cell>
          <cell r="L79">
            <v>31000</v>
          </cell>
        </row>
        <row r="80">
          <cell r="B80" t="str">
            <v>ООС-0104-000990</v>
          </cell>
          <cell r="C80" t="str">
            <v xml:space="preserve">телефонный кабель </v>
          </cell>
          <cell r="D80">
            <v>38077</v>
          </cell>
          <cell r="E80">
            <v>191303.2</v>
          </cell>
          <cell r="F80" t="str">
            <v>Расходный материал</v>
          </cell>
        </row>
        <row r="81">
          <cell r="B81" t="str">
            <v>ООС-0104-000991</v>
          </cell>
          <cell r="C81" t="str">
            <v>Выделенный  канал связи</v>
          </cell>
          <cell r="D81">
            <v>38077</v>
          </cell>
          <cell r="E81">
            <v>46293.78</v>
          </cell>
          <cell r="F81" t="str">
            <v>Услуга</v>
          </cell>
        </row>
        <row r="82">
          <cell r="B82" t="str">
            <v>ООС-0104-000992</v>
          </cell>
          <cell r="C82" t="str">
            <v>Телефонная линия</v>
          </cell>
          <cell r="D82">
            <v>38077</v>
          </cell>
          <cell r="E82">
            <v>11648</v>
          </cell>
          <cell r="F82" t="str">
            <v>Услуга</v>
          </cell>
        </row>
        <row r="83">
          <cell r="B83" t="str">
            <v>ООС-0104-000993</v>
          </cell>
          <cell r="C83" t="str">
            <v>Пожарно-охранная сигнал.</v>
          </cell>
          <cell r="D83">
            <v>38077</v>
          </cell>
          <cell r="E83">
            <v>15344.02</v>
          </cell>
          <cell r="F83">
            <v>19901</v>
          </cell>
          <cell r="G83">
            <v>11</v>
          </cell>
          <cell r="H83" t="str">
            <v>0</v>
          </cell>
          <cell r="I83" t="str">
            <v>0</v>
          </cell>
          <cell r="J83">
            <v>11</v>
          </cell>
          <cell r="K83">
            <v>17712</v>
          </cell>
          <cell r="L83">
            <v>18000</v>
          </cell>
        </row>
        <row r="84">
          <cell r="B84" t="str">
            <v>ООС-0104-000994</v>
          </cell>
          <cell r="C84" t="str">
            <v>Абон. Устр.интег. Доступа</v>
          </cell>
          <cell r="D84">
            <v>38077</v>
          </cell>
          <cell r="E84">
            <v>20961.099999999999</v>
          </cell>
          <cell r="F84">
            <v>16343</v>
          </cell>
          <cell r="G84">
            <v>11</v>
          </cell>
          <cell r="H84" t="str">
            <v>0</v>
          </cell>
          <cell r="I84" t="str">
            <v>0</v>
          </cell>
          <cell r="J84">
            <v>11</v>
          </cell>
          <cell r="K84">
            <v>14545</v>
          </cell>
          <cell r="L84">
            <v>15000</v>
          </cell>
        </row>
        <row r="85">
          <cell r="B85" t="str">
            <v>ООС-0104-000995</v>
          </cell>
          <cell r="C85" t="str">
            <v>Система ОС</v>
          </cell>
          <cell r="D85">
            <v>38077</v>
          </cell>
          <cell r="E85">
            <v>50049.279999999999</v>
          </cell>
          <cell r="F85">
            <v>49383</v>
          </cell>
          <cell r="G85">
            <v>11</v>
          </cell>
          <cell r="H85" t="str">
            <v>0</v>
          </cell>
          <cell r="I85" t="str">
            <v>0</v>
          </cell>
          <cell r="J85">
            <v>11</v>
          </cell>
          <cell r="K85">
            <v>43951</v>
          </cell>
          <cell r="L85">
            <v>44000</v>
          </cell>
        </row>
        <row r="86">
          <cell r="B86" t="str">
            <v>ООС-0104-001008</v>
          </cell>
          <cell r="C86" t="str">
            <v>Копир MB 5645</v>
          </cell>
          <cell r="D86">
            <v>38108</v>
          </cell>
          <cell r="E86">
            <v>17077.78</v>
          </cell>
          <cell r="F86">
            <v>28807</v>
          </cell>
          <cell r="G86">
            <v>13</v>
          </cell>
          <cell r="H86" t="str">
            <v>0</v>
          </cell>
          <cell r="I86" t="str">
            <v>0</v>
          </cell>
          <cell r="J86">
            <v>13</v>
          </cell>
          <cell r="K86">
            <v>25062</v>
          </cell>
          <cell r="L86">
            <v>25000</v>
          </cell>
        </row>
        <row r="87">
          <cell r="B87" t="str">
            <v>ООС-0104-001021</v>
          </cell>
          <cell r="C87" t="str">
            <v>Ноутбук IBM T41</v>
          </cell>
          <cell r="D87">
            <v>38217</v>
          </cell>
          <cell r="E87">
            <v>33348.080000000002</v>
          </cell>
          <cell r="F87">
            <v>52287</v>
          </cell>
          <cell r="G87">
            <v>8</v>
          </cell>
          <cell r="H87" t="str">
            <v>0</v>
          </cell>
          <cell r="I87" t="str">
            <v>0</v>
          </cell>
          <cell r="J87">
            <v>8</v>
          </cell>
          <cell r="K87">
            <v>48104</v>
          </cell>
          <cell r="L87">
            <v>48000</v>
          </cell>
        </row>
        <row r="88">
          <cell r="B88" t="str">
            <v>ООС-0104-001025</v>
          </cell>
          <cell r="C88" t="str">
            <v>Монитор 17Soni X72 LCD</v>
          </cell>
          <cell r="D88">
            <v>38223</v>
          </cell>
          <cell r="E88">
            <v>33348.080000000002</v>
          </cell>
          <cell r="F88">
            <v>21689</v>
          </cell>
          <cell r="G88">
            <v>7</v>
          </cell>
          <cell r="H88" t="str">
            <v>0</v>
          </cell>
          <cell r="I88" t="str">
            <v>0</v>
          </cell>
          <cell r="J88">
            <v>7</v>
          </cell>
          <cell r="K88">
            <v>20171</v>
          </cell>
          <cell r="L88">
            <v>20000</v>
          </cell>
        </row>
        <row r="89">
          <cell r="B89" t="str">
            <v>Оос-0104-001030</v>
          </cell>
          <cell r="C89" t="str">
            <v>Сис. Блок C-HPATI</v>
          </cell>
          <cell r="D89">
            <v>38223</v>
          </cell>
          <cell r="E89">
            <v>33348.080000000002</v>
          </cell>
          <cell r="F89">
            <v>25374</v>
          </cell>
          <cell r="G89">
            <v>7</v>
          </cell>
          <cell r="H89" t="str">
            <v>0</v>
          </cell>
          <cell r="I89" t="str">
            <v>0</v>
          </cell>
          <cell r="J89">
            <v>7</v>
          </cell>
          <cell r="K89">
            <v>23598</v>
          </cell>
          <cell r="L89">
            <v>24000</v>
          </cell>
        </row>
        <row r="90">
          <cell r="B90" t="str">
            <v>ООС-0104-001038</v>
          </cell>
          <cell r="C90" t="str">
            <v>Ноутбук Satel A40</v>
          </cell>
          <cell r="D90">
            <v>38223</v>
          </cell>
          <cell r="E90">
            <v>33348.080000000002</v>
          </cell>
          <cell r="F90">
            <v>33757</v>
          </cell>
          <cell r="G90">
            <v>8</v>
          </cell>
          <cell r="H90" t="str">
            <v>0</v>
          </cell>
          <cell r="I90" t="str">
            <v>0</v>
          </cell>
          <cell r="J90">
            <v>8</v>
          </cell>
          <cell r="K90">
            <v>31056</v>
          </cell>
          <cell r="L90">
            <v>31000</v>
          </cell>
        </row>
        <row r="91">
          <cell r="B91" t="str">
            <v>ООС-0105-000167</v>
          </cell>
          <cell r="C91" t="str">
            <v>Сейф кабинетный Р-3003</v>
          </cell>
          <cell r="D91">
            <v>36539</v>
          </cell>
          <cell r="E91">
            <v>6193.48</v>
          </cell>
          <cell r="F91">
            <v>9322</v>
          </cell>
          <cell r="G91">
            <v>23</v>
          </cell>
          <cell r="H91" t="str">
            <v>0</v>
          </cell>
          <cell r="I91" t="str">
            <v>0</v>
          </cell>
          <cell r="J91">
            <v>23</v>
          </cell>
          <cell r="K91">
            <v>7178</v>
          </cell>
          <cell r="L91">
            <v>7200</v>
          </cell>
        </row>
        <row r="92">
          <cell r="B92" t="str">
            <v>ООС-0105-000505</v>
          </cell>
          <cell r="C92" t="str">
            <v>Шкаф-купе НА</v>
          </cell>
          <cell r="D92">
            <v>37622</v>
          </cell>
          <cell r="E92">
            <v>9368.8700000000008</v>
          </cell>
          <cell r="F92">
            <v>9114</v>
          </cell>
          <cell r="G92">
            <v>29</v>
          </cell>
          <cell r="H92" t="str">
            <v>0</v>
          </cell>
          <cell r="I92" t="str">
            <v>0</v>
          </cell>
          <cell r="J92">
            <v>29</v>
          </cell>
          <cell r="K92">
            <v>6471</v>
          </cell>
          <cell r="L92">
            <v>6500</v>
          </cell>
        </row>
        <row r="93">
          <cell r="B93" t="str">
            <v>ООС-0105-000513</v>
          </cell>
          <cell r="C93" t="str">
            <v>Компл. Метал. Стелажей</v>
          </cell>
          <cell r="D93">
            <v>37742</v>
          </cell>
          <cell r="E93">
            <v>23126.47</v>
          </cell>
          <cell r="F93">
            <v>19559</v>
          </cell>
          <cell r="G93">
            <v>8</v>
          </cell>
          <cell r="H93" t="str">
            <v>0</v>
          </cell>
          <cell r="I93" t="str">
            <v>0</v>
          </cell>
          <cell r="J93">
            <v>8</v>
          </cell>
          <cell r="K93">
            <v>17994</v>
          </cell>
          <cell r="L93">
            <v>18000</v>
          </cell>
        </row>
        <row r="94">
          <cell r="B94" t="str">
            <v>ООС-0105-000515</v>
          </cell>
          <cell r="C94" t="str">
            <v>Гардероб на 216 номеров</v>
          </cell>
          <cell r="D94">
            <v>37742</v>
          </cell>
          <cell r="E94">
            <v>17785.64</v>
          </cell>
          <cell r="F94">
            <v>19002</v>
          </cell>
          <cell r="G94">
            <v>24</v>
          </cell>
          <cell r="H94" t="str">
            <v>0</v>
          </cell>
          <cell r="I94" t="str">
            <v>0</v>
          </cell>
          <cell r="J94">
            <v>24</v>
          </cell>
          <cell r="K94">
            <v>14442</v>
          </cell>
          <cell r="L94">
            <v>14000</v>
          </cell>
        </row>
        <row r="95">
          <cell r="B95" t="str">
            <v>ООС-0105-000525</v>
          </cell>
          <cell r="C95" t="str">
            <v>Жалюзи</v>
          </cell>
          <cell r="D95">
            <v>38077</v>
          </cell>
          <cell r="E95">
            <v>8731.08</v>
          </cell>
          <cell r="F95">
            <v>12407</v>
          </cell>
          <cell r="G95">
            <v>38</v>
          </cell>
          <cell r="H95" t="str">
            <v>0</v>
          </cell>
          <cell r="I95" t="str">
            <v>0</v>
          </cell>
          <cell r="J95">
            <v>38</v>
          </cell>
          <cell r="K95">
            <v>7692</v>
          </cell>
          <cell r="L95">
            <v>7700</v>
          </cell>
        </row>
        <row r="96">
          <cell r="B96" t="str">
            <v>ООС-0105-000528</v>
          </cell>
          <cell r="C96" t="str">
            <v>Сейф несгораемый</v>
          </cell>
          <cell r="D96">
            <v>38108</v>
          </cell>
          <cell r="E96">
            <v>15175.26</v>
          </cell>
          <cell r="F96">
            <v>12203</v>
          </cell>
          <cell r="G96">
            <v>3</v>
          </cell>
          <cell r="H96" t="str">
            <v>0</v>
          </cell>
          <cell r="I96" t="str">
            <v>0</v>
          </cell>
          <cell r="J96">
            <v>3</v>
          </cell>
          <cell r="K96">
            <v>11837</v>
          </cell>
          <cell r="L96">
            <v>12000</v>
          </cell>
        </row>
        <row r="97">
          <cell r="B97" t="str">
            <v>ООС-0105-000529</v>
          </cell>
          <cell r="C97" t="str">
            <v>Сейф двухдверный</v>
          </cell>
          <cell r="D97">
            <v>38108</v>
          </cell>
          <cell r="E97">
            <v>10422.57</v>
          </cell>
          <cell r="F97">
            <v>9322</v>
          </cell>
          <cell r="G97">
            <v>3</v>
          </cell>
          <cell r="H97" t="str">
            <v>0</v>
          </cell>
          <cell r="I97" t="str">
            <v>0</v>
          </cell>
          <cell r="J97">
            <v>3</v>
          </cell>
          <cell r="K97">
            <v>9042</v>
          </cell>
          <cell r="L97">
            <v>9000</v>
          </cell>
        </row>
        <row r="98">
          <cell r="B98" t="str">
            <v>ООС-0105-000530</v>
          </cell>
          <cell r="C98" t="str">
            <v>Сейф двухячеячный</v>
          </cell>
          <cell r="D98">
            <v>38108</v>
          </cell>
          <cell r="E98">
            <v>10422.57</v>
          </cell>
          <cell r="F98">
            <v>9322</v>
          </cell>
          <cell r="G98">
            <v>3</v>
          </cell>
          <cell r="H98" t="str">
            <v>0</v>
          </cell>
          <cell r="I98" t="str">
            <v>0</v>
          </cell>
          <cell r="J98">
            <v>3</v>
          </cell>
          <cell r="K98">
            <v>9042</v>
          </cell>
          <cell r="L98">
            <v>9000</v>
          </cell>
        </row>
        <row r="99">
          <cell r="B99" t="str">
            <v>ООС-0105-000531</v>
          </cell>
          <cell r="C99" t="str">
            <v>Сейф Рипис двухяч.</v>
          </cell>
          <cell r="D99">
            <v>38108</v>
          </cell>
          <cell r="E99">
            <v>9838.91</v>
          </cell>
          <cell r="F99">
            <v>9322</v>
          </cell>
          <cell r="G99">
            <v>3</v>
          </cell>
          <cell r="H99" t="str">
            <v>0</v>
          </cell>
          <cell r="I99" t="str">
            <v>0</v>
          </cell>
          <cell r="J99">
            <v>3</v>
          </cell>
          <cell r="K99">
            <v>9042</v>
          </cell>
          <cell r="L99">
            <v>9000</v>
          </cell>
        </row>
        <row r="100">
          <cell r="B100" t="str">
            <v>ООС-0105-000532</v>
          </cell>
          <cell r="C100" t="str">
            <v>Сейф Aiko</v>
          </cell>
          <cell r="D100">
            <v>38108</v>
          </cell>
          <cell r="E100">
            <v>11840.04</v>
          </cell>
          <cell r="F100">
            <v>12203</v>
          </cell>
          <cell r="G100">
            <v>3</v>
          </cell>
          <cell r="H100" t="str">
            <v>0</v>
          </cell>
          <cell r="I100" t="str">
            <v>0</v>
          </cell>
          <cell r="J100">
            <v>3</v>
          </cell>
          <cell r="K100">
            <v>11837</v>
          </cell>
          <cell r="L100">
            <v>12000</v>
          </cell>
        </row>
        <row r="101">
          <cell r="B101" t="str">
            <v>ООС-0104--000932</v>
          </cell>
          <cell r="C101" t="str">
            <v>Ноутбук Satellite5205-S705</v>
          </cell>
          <cell r="D101">
            <v>37935</v>
          </cell>
          <cell r="E101">
            <v>55557.71</v>
          </cell>
          <cell r="F101">
            <v>44681</v>
          </cell>
          <cell r="G101">
            <v>23</v>
          </cell>
          <cell r="H101" t="str">
            <v>0</v>
          </cell>
          <cell r="I101" t="str">
            <v>0</v>
          </cell>
          <cell r="J101">
            <v>23</v>
          </cell>
          <cell r="K101">
            <v>34404</v>
          </cell>
          <cell r="L101">
            <v>34000</v>
          </cell>
        </row>
        <row r="102">
          <cell r="B102" t="str">
            <v>ООС-0104-001080</v>
          </cell>
          <cell r="C102" t="str">
            <v>Пневмонадув. Конструкция</v>
          </cell>
          <cell r="D102">
            <v>38286</v>
          </cell>
          <cell r="E102">
            <v>58937.5</v>
          </cell>
          <cell r="F102">
            <v>55169</v>
          </cell>
          <cell r="G102">
            <v>8</v>
          </cell>
          <cell r="H102" t="str">
            <v>0</v>
          </cell>
          <cell r="I102" t="str">
            <v>0</v>
          </cell>
          <cell r="J102">
            <v>8</v>
          </cell>
          <cell r="K102">
            <v>50755</v>
          </cell>
          <cell r="L102">
            <v>51000</v>
          </cell>
        </row>
        <row r="103">
          <cell r="B103" t="str">
            <v>ООС-0104-000584</v>
          </cell>
          <cell r="C103" t="str">
            <v>Проектор ASK C20</v>
          </cell>
          <cell r="D103">
            <v>37469</v>
          </cell>
          <cell r="E103">
            <v>33487.19</v>
          </cell>
          <cell r="F103">
            <v>84870</v>
          </cell>
          <cell r="G103">
            <v>40</v>
          </cell>
          <cell r="H103" t="str">
            <v>0</v>
          </cell>
          <cell r="I103" t="str">
            <v>0</v>
          </cell>
          <cell r="J103">
            <v>40</v>
          </cell>
          <cell r="K103">
            <v>50922</v>
          </cell>
          <cell r="L103">
            <v>51000</v>
          </cell>
        </row>
        <row r="104">
          <cell r="B104" t="str">
            <v>ООС-0104-000285</v>
          </cell>
          <cell r="C104" t="str">
            <v>Сис. Блок Vei8</v>
          </cell>
          <cell r="D104">
            <v>36708</v>
          </cell>
          <cell r="E104">
            <v>10709.98</v>
          </cell>
          <cell r="F104">
            <v>24009</v>
          </cell>
          <cell r="G104">
            <v>90</v>
          </cell>
          <cell r="H104" t="str">
            <v>0</v>
          </cell>
          <cell r="I104" t="str">
            <v>0</v>
          </cell>
          <cell r="J104">
            <v>90</v>
          </cell>
          <cell r="K104">
            <v>2401</v>
          </cell>
          <cell r="L104">
            <v>2400</v>
          </cell>
        </row>
        <row r="105">
          <cell r="B105" t="str">
            <v>ООС-0104-000333</v>
          </cell>
          <cell r="C105" t="str">
            <v>Сис. Блок VL400</v>
          </cell>
          <cell r="D105">
            <v>36860</v>
          </cell>
          <cell r="E105">
            <v>5573.67</v>
          </cell>
          <cell r="F105">
            <v>11076</v>
          </cell>
          <cell r="G105">
            <v>82</v>
          </cell>
          <cell r="H105" t="str">
            <v>0</v>
          </cell>
          <cell r="I105" t="str">
            <v>0</v>
          </cell>
          <cell r="J105">
            <v>82</v>
          </cell>
          <cell r="K105">
            <v>1994</v>
          </cell>
          <cell r="L105">
            <v>2000</v>
          </cell>
        </row>
        <row r="106">
          <cell r="B106" t="str">
            <v>ООС-0104-001018</v>
          </cell>
          <cell r="C106" t="str">
            <v>Ноутбук IBM T41</v>
          </cell>
          <cell r="D106">
            <v>38217</v>
          </cell>
          <cell r="E106">
            <v>32840.31</v>
          </cell>
          <cell r="F106">
            <v>52287</v>
          </cell>
          <cell r="G106">
            <v>8</v>
          </cell>
          <cell r="H106" t="str">
            <v>0</v>
          </cell>
          <cell r="I106" t="str">
            <v>0</v>
          </cell>
          <cell r="J106">
            <v>8</v>
          </cell>
          <cell r="K106">
            <v>48104</v>
          </cell>
          <cell r="L106">
            <v>48000</v>
          </cell>
        </row>
        <row r="107">
          <cell r="B107" t="str">
            <v>ООС-0104-001019</v>
          </cell>
          <cell r="C107" t="str">
            <v>Ноутбук IBM T41</v>
          </cell>
          <cell r="D107">
            <v>38217</v>
          </cell>
          <cell r="E107">
            <v>32840.31</v>
          </cell>
          <cell r="F107">
            <v>52287</v>
          </cell>
          <cell r="G107">
            <v>8</v>
          </cell>
          <cell r="H107" t="str">
            <v>0</v>
          </cell>
          <cell r="I107" t="str">
            <v>0</v>
          </cell>
          <cell r="J107">
            <v>8</v>
          </cell>
          <cell r="K107">
            <v>48104</v>
          </cell>
          <cell r="L107">
            <v>48000</v>
          </cell>
        </row>
        <row r="108">
          <cell r="B108" t="str">
            <v>ООС-0104-001076</v>
          </cell>
          <cell r="C108" t="str">
            <v>Конструкция премьер</v>
          </cell>
          <cell r="D108">
            <v>38268</v>
          </cell>
          <cell r="E108">
            <v>16752.97</v>
          </cell>
          <cell r="F108">
            <v>12391</v>
          </cell>
          <cell r="G108">
            <v>4</v>
          </cell>
          <cell r="H108" t="str">
            <v>0</v>
          </cell>
          <cell r="I108" t="str">
            <v>0</v>
          </cell>
          <cell r="J108">
            <v>4</v>
          </cell>
          <cell r="K108">
            <v>11895</v>
          </cell>
          <cell r="L108">
            <v>12000</v>
          </cell>
        </row>
        <row r="109">
          <cell r="B109" t="str">
            <v>ООС-0104-001078</v>
          </cell>
          <cell r="C109" t="str">
            <v>Бокс-трибуна</v>
          </cell>
          <cell r="D109">
            <v>38268</v>
          </cell>
          <cell r="E109">
            <v>10393.85</v>
          </cell>
          <cell r="F109">
            <v>9876</v>
          </cell>
          <cell r="G109">
            <v>4</v>
          </cell>
          <cell r="H109" t="str">
            <v>0</v>
          </cell>
          <cell r="I109" t="str">
            <v>0</v>
          </cell>
          <cell r="J109">
            <v>4</v>
          </cell>
          <cell r="K109">
            <v>9481</v>
          </cell>
          <cell r="L109">
            <v>9500</v>
          </cell>
        </row>
        <row r="110">
          <cell r="B110" t="str">
            <v>ООС-0104-001079</v>
          </cell>
          <cell r="C110" t="str">
            <v>Стол-рецешн</v>
          </cell>
          <cell r="D110">
            <v>38268</v>
          </cell>
          <cell r="E110">
            <v>14443.22</v>
          </cell>
          <cell r="F110">
            <v>15756</v>
          </cell>
          <cell r="G110">
            <v>4</v>
          </cell>
          <cell r="H110" t="str">
            <v>0</v>
          </cell>
          <cell r="I110" t="str">
            <v>0</v>
          </cell>
          <cell r="J110">
            <v>4</v>
          </cell>
          <cell r="K110">
            <v>15126</v>
          </cell>
          <cell r="L110">
            <v>15000</v>
          </cell>
        </row>
        <row r="111">
          <cell r="B111" t="str">
            <v>ООС-0104-000922</v>
          </cell>
          <cell r="C111" t="str">
            <v>Ноутбук Satellite2800</v>
          </cell>
          <cell r="D111">
            <v>37894</v>
          </cell>
          <cell r="E111">
            <v>26049.67</v>
          </cell>
          <cell r="F111">
            <v>13875</v>
          </cell>
          <cell r="G111">
            <v>25</v>
          </cell>
          <cell r="H111" t="str">
            <v>0</v>
          </cell>
          <cell r="I111" t="str">
            <v>0</v>
          </cell>
          <cell r="J111">
            <v>25</v>
          </cell>
          <cell r="K111">
            <v>10406</v>
          </cell>
          <cell r="L111">
            <v>10000</v>
          </cell>
        </row>
        <row r="112">
          <cell r="B112" t="str">
            <v>ООС-0104-000924</v>
          </cell>
          <cell r="C112" t="str">
            <v>Сис.блок+монитор Sonic</v>
          </cell>
          <cell r="D112">
            <v>37894</v>
          </cell>
          <cell r="E112">
            <v>9945.64</v>
          </cell>
          <cell r="F112">
            <v>15097</v>
          </cell>
          <cell r="G112">
            <v>25</v>
          </cell>
          <cell r="H112" t="str">
            <v>0</v>
          </cell>
          <cell r="I112" t="str">
            <v>0</v>
          </cell>
          <cell r="J112">
            <v>25</v>
          </cell>
          <cell r="K112">
            <v>11323</v>
          </cell>
          <cell r="L112">
            <v>11000</v>
          </cell>
        </row>
        <row r="113">
          <cell r="B113" t="str">
            <v>ООС-0104-000923</v>
          </cell>
          <cell r="C113" t="str">
            <v>Сис.блок+монитор HP Vek</v>
          </cell>
          <cell r="D113">
            <v>37894</v>
          </cell>
          <cell r="E113">
            <v>17967.55</v>
          </cell>
          <cell r="F113">
            <v>15097</v>
          </cell>
          <cell r="G113">
            <v>25</v>
          </cell>
          <cell r="H113" t="str">
            <v>0</v>
          </cell>
          <cell r="I113" t="str">
            <v>0</v>
          </cell>
          <cell r="J113">
            <v>25</v>
          </cell>
          <cell r="K113">
            <v>11323</v>
          </cell>
          <cell r="L113">
            <v>11000</v>
          </cell>
        </row>
        <row r="114">
          <cell r="B114" t="str">
            <v>ООС-0104-000914</v>
          </cell>
          <cell r="C114" t="str">
            <v>Ноутбук Satel 1800-S203</v>
          </cell>
          <cell r="D114">
            <v>37894</v>
          </cell>
          <cell r="E114">
            <v>28190.61</v>
          </cell>
          <cell r="F114">
            <v>13875</v>
          </cell>
          <cell r="G114">
            <v>25</v>
          </cell>
          <cell r="H114" t="str">
            <v>0</v>
          </cell>
          <cell r="I114" t="str">
            <v>0</v>
          </cell>
          <cell r="J114">
            <v>25</v>
          </cell>
          <cell r="K114">
            <v>10406</v>
          </cell>
          <cell r="L114">
            <v>10000</v>
          </cell>
        </row>
        <row r="115">
          <cell r="B115" t="str">
            <v>ООС-0104-000915</v>
          </cell>
          <cell r="C115" t="str">
            <v>Принтер HP LJ1100</v>
          </cell>
          <cell r="D115">
            <v>37894</v>
          </cell>
          <cell r="E115">
            <v>8315.43</v>
          </cell>
          <cell r="F115">
            <v>8653</v>
          </cell>
          <cell r="G115">
            <v>25</v>
          </cell>
          <cell r="H115" t="str">
            <v>0</v>
          </cell>
          <cell r="I115" t="str">
            <v>0</v>
          </cell>
          <cell r="J115">
            <v>25</v>
          </cell>
          <cell r="K115">
            <v>6490</v>
          </cell>
          <cell r="L115">
            <v>6500</v>
          </cell>
        </row>
        <row r="116">
          <cell r="B116" t="str">
            <v>ООС-0104-000913</v>
          </cell>
          <cell r="C116" t="str">
            <v>Ноутбук Satel SPA40</v>
          </cell>
          <cell r="D116">
            <v>37894</v>
          </cell>
          <cell r="E116">
            <v>23448.27</v>
          </cell>
          <cell r="F116">
            <v>33757</v>
          </cell>
          <cell r="G116">
            <v>25</v>
          </cell>
          <cell r="H116" t="str">
            <v>0</v>
          </cell>
          <cell r="I116" t="str">
            <v>0</v>
          </cell>
          <cell r="J116">
            <v>25</v>
          </cell>
          <cell r="K116">
            <v>25318</v>
          </cell>
          <cell r="L116">
            <v>25000</v>
          </cell>
        </row>
        <row r="117">
          <cell r="B117" t="str">
            <v>ООС-0104-000916</v>
          </cell>
          <cell r="C117" t="str">
            <v>Сис.блок+монитор HP</v>
          </cell>
          <cell r="D117">
            <v>37894</v>
          </cell>
          <cell r="E117">
            <v>23487.52</v>
          </cell>
          <cell r="F117">
            <v>15097</v>
          </cell>
          <cell r="G117">
            <v>25</v>
          </cell>
          <cell r="H117" t="str">
            <v>0</v>
          </cell>
          <cell r="I117" t="str">
            <v>0</v>
          </cell>
          <cell r="J117">
            <v>25</v>
          </cell>
          <cell r="K117">
            <v>11323</v>
          </cell>
          <cell r="L117">
            <v>11000</v>
          </cell>
        </row>
        <row r="118">
          <cell r="B118" t="str">
            <v>ООС-0104-000918</v>
          </cell>
          <cell r="C118" t="str">
            <v>Сис.блок+монитор VL410</v>
          </cell>
          <cell r="D118">
            <v>37894</v>
          </cell>
          <cell r="E118">
            <v>19155.14</v>
          </cell>
          <cell r="F118">
            <v>26008</v>
          </cell>
          <cell r="G118">
            <v>25</v>
          </cell>
          <cell r="H118" t="str">
            <v>0</v>
          </cell>
          <cell r="I118" t="str">
            <v>0</v>
          </cell>
          <cell r="J118">
            <v>25</v>
          </cell>
          <cell r="K118">
            <v>19506</v>
          </cell>
          <cell r="L118">
            <v>20000</v>
          </cell>
        </row>
        <row r="119">
          <cell r="B119" t="str">
            <v>ООС-0104-000917</v>
          </cell>
          <cell r="C119" t="str">
            <v>Сис.блок+монитор HP</v>
          </cell>
          <cell r="D119">
            <v>37894</v>
          </cell>
          <cell r="E119">
            <v>22438.959999999999</v>
          </cell>
          <cell r="F119">
            <v>15097</v>
          </cell>
          <cell r="G119">
            <v>25</v>
          </cell>
          <cell r="H119" t="str">
            <v>0</v>
          </cell>
          <cell r="I119" t="str">
            <v>0</v>
          </cell>
          <cell r="J119">
            <v>25</v>
          </cell>
          <cell r="K119">
            <v>11323</v>
          </cell>
          <cell r="L119">
            <v>11000</v>
          </cell>
        </row>
        <row r="120">
          <cell r="B120" t="str">
            <v>ООС-0104-000920</v>
          </cell>
          <cell r="C120" t="str">
            <v>Сис.блок+монитор HP</v>
          </cell>
          <cell r="D120">
            <v>37894</v>
          </cell>
          <cell r="E120">
            <v>19155.14</v>
          </cell>
          <cell r="F120">
            <v>15097</v>
          </cell>
          <cell r="G120">
            <v>25</v>
          </cell>
          <cell r="H120" t="str">
            <v>0</v>
          </cell>
          <cell r="I120" t="str">
            <v>0</v>
          </cell>
          <cell r="J120">
            <v>25</v>
          </cell>
          <cell r="K120">
            <v>11323</v>
          </cell>
          <cell r="L120">
            <v>11000</v>
          </cell>
        </row>
        <row r="121">
          <cell r="B121" t="str">
            <v>ООС-0104-001031</v>
          </cell>
          <cell r="C121" t="str">
            <v>Сис. Блок P4</v>
          </cell>
          <cell r="D121">
            <v>38223</v>
          </cell>
          <cell r="E121">
            <v>33348.080000000002</v>
          </cell>
          <cell r="F121">
            <v>25374</v>
          </cell>
          <cell r="G121">
            <v>7</v>
          </cell>
          <cell r="H121" t="str">
            <v>0</v>
          </cell>
          <cell r="I121" t="str">
            <v>0</v>
          </cell>
          <cell r="J121">
            <v>7</v>
          </cell>
          <cell r="K121">
            <v>23598</v>
          </cell>
          <cell r="L121">
            <v>24000</v>
          </cell>
        </row>
        <row r="122">
          <cell r="B122" t="str">
            <v>ООС-0104-001032</v>
          </cell>
          <cell r="C122" t="str">
            <v>Сис. Блок P4</v>
          </cell>
          <cell r="D122">
            <v>38223</v>
          </cell>
          <cell r="E122">
            <v>33348.080000000002</v>
          </cell>
          <cell r="F122">
            <v>25374</v>
          </cell>
          <cell r="G122">
            <v>7</v>
          </cell>
          <cell r="H122" t="str">
            <v>0</v>
          </cell>
          <cell r="I122" t="str">
            <v>0</v>
          </cell>
          <cell r="J122">
            <v>7</v>
          </cell>
          <cell r="K122">
            <v>23598</v>
          </cell>
          <cell r="L122">
            <v>24000</v>
          </cell>
        </row>
        <row r="123">
          <cell r="B123" t="str">
            <v>ООС-0104-001033</v>
          </cell>
          <cell r="C123" t="str">
            <v>Сис. Блок P4</v>
          </cell>
          <cell r="D123">
            <v>38223</v>
          </cell>
          <cell r="E123">
            <v>33348.080000000002</v>
          </cell>
          <cell r="F123">
            <v>25374</v>
          </cell>
          <cell r="G123">
            <v>7</v>
          </cell>
          <cell r="H123" t="str">
            <v>0</v>
          </cell>
          <cell r="I123" t="str">
            <v>0</v>
          </cell>
          <cell r="J123">
            <v>7</v>
          </cell>
          <cell r="K123">
            <v>23598</v>
          </cell>
          <cell r="L123">
            <v>24000</v>
          </cell>
        </row>
        <row r="124">
          <cell r="B124" t="str">
            <v>ООС-0104-001034</v>
          </cell>
          <cell r="C124" t="str">
            <v>Сис. Блок P4</v>
          </cell>
          <cell r="D124">
            <v>38223</v>
          </cell>
          <cell r="E124">
            <v>33348.080000000002</v>
          </cell>
          <cell r="F124">
            <v>25374</v>
          </cell>
          <cell r="G124">
            <v>7</v>
          </cell>
          <cell r="H124" t="str">
            <v>0</v>
          </cell>
          <cell r="I124" t="str">
            <v>0</v>
          </cell>
          <cell r="J124">
            <v>7</v>
          </cell>
          <cell r="K124">
            <v>23598</v>
          </cell>
          <cell r="L124">
            <v>24000</v>
          </cell>
        </row>
        <row r="125">
          <cell r="B125" t="str">
            <v>ООС-0104-001035</v>
          </cell>
          <cell r="C125" t="str">
            <v>Монитор VP191</v>
          </cell>
          <cell r="D125">
            <v>38223</v>
          </cell>
          <cell r="E125">
            <v>33348.080000000002</v>
          </cell>
          <cell r="F125">
            <v>14580</v>
          </cell>
          <cell r="G125">
            <v>7</v>
          </cell>
          <cell r="H125" t="str">
            <v>0</v>
          </cell>
          <cell r="I125" t="str">
            <v>0</v>
          </cell>
          <cell r="J125">
            <v>7</v>
          </cell>
          <cell r="K125">
            <v>13559</v>
          </cell>
          <cell r="L125">
            <v>14000</v>
          </cell>
        </row>
        <row r="126">
          <cell r="B126" t="str">
            <v>ООС-0104-001036</v>
          </cell>
          <cell r="C126" t="str">
            <v>Монитор VP191</v>
          </cell>
          <cell r="D126">
            <v>38223</v>
          </cell>
          <cell r="E126">
            <v>33348.080000000002</v>
          </cell>
          <cell r="F126">
            <v>14580</v>
          </cell>
          <cell r="G126">
            <v>7</v>
          </cell>
          <cell r="H126" t="str">
            <v>0</v>
          </cell>
          <cell r="I126" t="str">
            <v>0</v>
          </cell>
          <cell r="J126">
            <v>7</v>
          </cell>
          <cell r="K126">
            <v>13559</v>
          </cell>
          <cell r="L126">
            <v>14000</v>
          </cell>
        </row>
        <row r="127">
          <cell r="B127" t="str">
            <v>ООС-0104-001037</v>
          </cell>
          <cell r="C127" t="str">
            <v>Монитор VP191</v>
          </cell>
          <cell r="D127">
            <v>38223</v>
          </cell>
          <cell r="E127">
            <v>33348.080000000002</v>
          </cell>
          <cell r="F127">
            <v>14580</v>
          </cell>
          <cell r="G127">
            <v>7</v>
          </cell>
          <cell r="H127" t="str">
            <v>0</v>
          </cell>
          <cell r="I127" t="str">
            <v>0</v>
          </cell>
          <cell r="J127">
            <v>7</v>
          </cell>
          <cell r="K127">
            <v>13559</v>
          </cell>
          <cell r="L127">
            <v>14000</v>
          </cell>
        </row>
        <row r="128">
          <cell r="B128" t="str">
            <v>ООС-0104-00111</v>
          </cell>
          <cell r="C128" t="str">
            <v>Батарейка SUPS1400</v>
          </cell>
          <cell r="D128">
            <v>36433</v>
          </cell>
          <cell r="E128">
            <v>921.47</v>
          </cell>
          <cell r="F128">
            <v>4421</v>
          </cell>
          <cell r="G128">
            <v>97</v>
          </cell>
          <cell r="H128" t="str">
            <v>0</v>
          </cell>
          <cell r="I128" t="str">
            <v>0</v>
          </cell>
          <cell r="J128">
            <v>97</v>
          </cell>
          <cell r="K128">
            <v>133</v>
          </cell>
          <cell r="L128">
            <v>130</v>
          </cell>
        </row>
        <row r="129">
          <cell r="B129" t="str">
            <v>ООС-0104-00112</v>
          </cell>
          <cell r="C129" t="str">
            <v>Ноутбук Satell 4030CDT</v>
          </cell>
          <cell r="D129">
            <v>36433</v>
          </cell>
          <cell r="E129">
            <v>3761.91</v>
          </cell>
          <cell r="F129">
            <v>14746</v>
          </cell>
          <cell r="G129">
            <v>97</v>
          </cell>
          <cell r="H129" t="str">
            <v>0</v>
          </cell>
          <cell r="I129" t="str">
            <v>0</v>
          </cell>
          <cell r="J129">
            <v>97</v>
          </cell>
          <cell r="K129">
            <v>442</v>
          </cell>
          <cell r="L129">
            <v>440</v>
          </cell>
        </row>
        <row r="130">
          <cell r="B130" t="str">
            <v>ООС-0104-000118</v>
          </cell>
          <cell r="C130" t="str">
            <v>Сис.блок VEi8</v>
          </cell>
          <cell r="D130">
            <v>36464</v>
          </cell>
          <cell r="E130">
            <v>3164.47</v>
          </cell>
          <cell r="F130">
            <v>24009</v>
          </cell>
          <cell r="G130">
            <v>97</v>
          </cell>
          <cell r="H130" t="str">
            <v>0</v>
          </cell>
          <cell r="I130" t="str">
            <v>0</v>
          </cell>
          <cell r="J130">
            <v>97</v>
          </cell>
          <cell r="K130">
            <v>720</v>
          </cell>
          <cell r="L130">
            <v>720</v>
          </cell>
        </row>
        <row r="131">
          <cell r="B131" t="str">
            <v>ООС-0104-000196</v>
          </cell>
          <cell r="C131" t="str">
            <v>Сис. Блок VEi7</v>
          </cell>
          <cell r="D131">
            <v>38091</v>
          </cell>
          <cell r="E131">
            <v>4899.0200000000004</v>
          </cell>
          <cell r="F131">
            <v>16955</v>
          </cell>
          <cell r="G131">
            <v>15</v>
          </cell>
          <cell r="H131" t="str">
            <v>0</v>
          </cell>
          <cell r="I131" t="str">
            <v>0</v>
          </cell>
          <cell r="J131">
            <v>15</v>
          </cell>
          <cell r="K131">
            <v>14412</v>
          </cell>
          <cell r="L131">
            <v>14000</v>
          </cell>
        </row>
        <row r="132">
          <cell r="B132" t="str">
            <v>ООС-010-000214</v>
          </cell>
          <cell r="C132" t="str">
            <v>Ноутбук Satell 2650XDVD</v>
          </cell>
          <cell r="D132">
            <v>36651</v>
          </cell>
          <cell r="E132">
            <v>15186.6</v>
          </cell>
          <cell r="F132">
            <v>13875</v>
          </cell>
          <cell r="G132">
            <v>93</v>
          </cell>
          <cell r="H132" t="str">
            <v>0</v>
          </cell>
          <cell r="I132" t="str">
            <v>0</v>
          </cell>
          <cell r="J132">
            <v>93</v>
          </cell>
          <cell r="K132">
            <v>971</v>
          </cell>
          <cell r="L132">
            <v>970</v>
          </cell>
        </row>
        <row r="133">
          <cell r="B133" t="str">
            <v>ООС-0104-000334</v>
          </cell>
          <cell r="C133" t="str">
            <v>Сис.блок VL400</v>
          </cell>
          <cell r="D133">
            <v>36852</v>
          </cell>
          <cell r="E133">
            <v>5362.29</v>
          </cell>
          <cell r="F133">
            <v>11076</v>
          </cell>
          <cell r="G133">
            <v>82</v>
          </cell>
          <cell r="H133" t="str">
            <v>0</v>
          </cell>
          <cell r="I133" t="str">
            <v>0</v>
          </cell>
          <cell r="J133">
            <v>82</v>
          </cell>
          <cell r="K133">
            <v>1994</v>
          </cell>
          <cell r="L133">
            <v>2000</v>
          </cell>
        </row>
        <row r="134">
          <cell r="B134" t="str">
            <v>ООС-0104-000731</v>
          </cell>
          <cell r="C134" t="str">
            <v>Ноутбук Satell 2805-S402</v>
          </cell>
          <cell r="D134">
            <v>37622</v>
          </cell>
          <cell r="E134">
            <v>44540.47</v>
          </cell>
          <cell r="F134">
            <v>39953</v>
          </cell>
          <cell r="G134">
            <v>40</v>
          </cell>
          <cell r="H134" t="str">
            <v>0</v>
          </cell>
          <cell r="I134" t="str">
            <v>0</v>
          </cell>
          <cell r="J134">
            <v>40</v>
          </cell>
          <cell r="K134">
            <v>23972</v>
          </cell>
          <cell r="L134">
            <v>24000</v>
          </cell>
        </row>
        <row r="135">
          <cell r="B135" t="str">
            <v>ООС-0104-000802</v>
          </cell>
          <cell r="C135" t="str">
            <v>Ноутбук Satell 2805-S503</v>
          </cell>
          <cell r="D135">
            <v>37742</v>
          </cell>
          <cell r="E135">
            <v>0</v>
          </cell>
          <cell r="F135">
            <v>60710</v>
          </cell>
          <cell r="G135">
            <v>33</v>
          </cell>
          <cell r="H135" t="str">
            <v>0</v>
          </cell>
          <cell r="I135" t="str">
            <v>0</v>
          </cell>
          <cell r="J135">
            <v>33</v>
          </cell>
          <cell r="K135">
            <v>40676</v>
          </cell>
          <cell r="L135">
            <v>41000</v>
          </cell>
        </row>
        <row r="136">
          <cell r="B136" t="str">
            <v>ООС-0104-000853</v>
          </cell>
          <cell r="C136" t="str">
            <v>Ноутбук OmnibookXE3</v>
          </cell>
          <cell r="D136">
            <v>37742</v>
          </cell>
          <cell r="E136">
            <v>39006.67</v>
          </cell>
          <cell r="F136">
            <v>18593</v>
          </cell>
          <cell r="G136">
            <v>33</v>
          </cell>
          <cell r="H136" t="str">
            <v>0</v>
          </cell>
          <cell r="I136" t="str">
            <v>0</v>
          </cell>
          <cell r="J136">
            <v>33</v>
          </cell>
          <cell r="K136">
            <v>12457</v>
          </cell>
          <cell r="L136">
            <v>12000</v>
          </cell>
        </row>
        <row r="137">
          <cell r="B137" t="str">
            <v>ООС-0105-000119</v>
          </cell>
          <cell r="C137" t="str">
            <v>Напол. Монтаж.шкаф42U</v>
          </cell>
          <cell r="D137">
            <v>36464</v>
          </cell>
          <cell r="E137">
            <v>10780.32</v>
          </cell>
          <cell r="F137">
            <v>56259</v>
          </cell>
          <cell r="G137">
            <v>74</v>
          </cell>
          <cell r="H137" t="str">
            <v>0</v>
          </cell>
          <cell r="I137" t="str">
            <v>0</v>
          </cell>
          <cell r="J137">
            <v>74</v>
          </cell>
          <cell r="K137">
            <v>14627</v>
          </cell>
          <cell r="L137">
            <v>15000</v>
          </cell>
        </row>
        <row r="138">
          <cell r="B138" t="str">
            <v>ООС-0105-000450</v>
          </cell>
          <cell r="C138" t="str">
            <v>Шкаф А722К000с полками</v>
          </cell>
          <cell r="D138">
            <v>37254</v>
          </cell>
          <cell r="E138">
            <v>0</v>
          </cell>
          <cell r="F138">
            <v>10305</v>
          </cell>
          <cell r="G138">
            <v>60</v>
          </cell>
          <cell r="H138" t="str">
            <v>0</v>
          </cell>
          <cell r="I138" t="str">
            <v>0</v>
          </cell>
          <cell r="J138">
            <v>60</v>
          </cell>
          <cell r="K138">
            <v>4122</v>
          </cell>
          <cell r="L138">
            <v>4100</v>
          </cell>
        </row>
        <row r="139">
          <cell r="B139" t="str">
            <v>ООС-0104-000931</v>
          </cell>
          <cell r="C139" t="str">
            <v>Ноутбук Satell 5205-S705</v>
          </cell>
          <cell r="D139">
            <v>37935</v>
          </cell>
          <cell r="E139">
            <v>55557.71</v>
          </cell>
          <cell r="F139">
            <v>44681</v>
          </cell>
          <cell r="G139">
            <v>23</v>
          </cell>
          <cell r="H139" t="str">
            <v>0</v>
          </cell>
          <cell r="I139" t="str">
            <v>0</v>
          </cell>
          <cell r="J139">
            <v>23</v>
          </cell>
          <cell r="K139">
            <v>34404</v>
          </cell>
          <cell r="L139">
            <v>34000</v>
          </cell>
        </row>
        <row r="140">
          <cell r="B140" t="str">
            <v>ООС-0104-000222</v>
          </cell>
          <cell r="C140" t="str">
            <v>Ноутбук satell 2715XDVD</v>
          </cell>
          <cell r="D140">
            <v>36683</v>
          </cell>
          <cell r="E140">
            <v>13134.04</v>
          </cell>
          <cell r="F140">
            <v>13875</v>
          </cell>
          <cell r="G140">
            <v>92</v>
          </cell>
          <cell r="H140" t="str">
            <v>0</v>
          </cell>
          <cell r="I140" t="str">
            <v>0</v>
          </cell>
          <cell r="J140">
            <v>92</v>
          </cell>
          <cell r="K140">
            <v>1110</v>
          </cell>
          <cell r="L140">
            <v>1100</v>
          </cell>
        </row>
        <row r="141">
          <cell r="B141" t="str">
            <v>ООС-0104-000223</v>
          </cell>
          <cell r="C141" t="str">
            <v>Ноутбук Satell 440 CDX</v>
          </cell>
          <cell r="D141">
            <v>36685</v>
          </cell>
          <cell r="E141">
            <v>16036.5</v>
          </cell>
          <cell r="F141">
            <v>14746</v>
          </cell>
          <cell r="G141">
            <v>92</v>
          </cell>
          <cell r="H141" t="str">
            <v>0</v>
          </cell>
          <cell r="I141" t="str">
            <v>0</v>
          </cell>
          <cell r="J141">
            <v>92</v>
          </cell>
          <cell r="K141">
            <v>1180</v>
          </cell>
          <cell r="L141">
            <v>1200</v>
          </cell>
        </row>
        <row r="142">
          <cell r="B142" t="str">
            <v>ООС-0104-000227</v>
          </cell>
          <cell r="C142" t="str">
            <v>Сис. Блок HPCLJ8550N</v>
          </cell>
          <cell r="D142">
            <v>36682</v>
          </cell>
          <cell r="E142">
            <v>75877.83</v>
          </cell>
          <cell r="F142">
            <v>60508</v>
          </cell>
          <cell r="G142">
            <v>92</v>
          </cell>
          <cell r="H142" t="str">
            <v>0</v>
          </cell>
          <cell r="I142" t="str">
            <v>0</v>
          </cell>
          <cell r="J142">
            <v>92</v>
          </cell>
          <cell r="K142">
            <v>4841</v>
          </cell>
          <cell r="L142">
            <v>4800</v>
          </cell>
        </row>
        <row r="143">
          <cell r="B143" t="str">
            <v>ООС-0104-000228</v>
          </cell>
          <cell r="C143" t="str">
            <v>Сис. Блок Vei8</v>
          </cell>
          <cell r="D143">
            <v>36682</v>
          </cell>
          <cell r="E143">
            <v>6376.88</v>
          </cell>
          <cell r="F143">
            <v>24009</v>
          </cell>
          <cell r="G143">
            <v>92</v>
          </cell>
          <cell r="H143" t="str">
            <v>0</v>
          </cell>
          <cell r="I143" t="str">
            <v>0</v>
          </cell>
          <cell r="J143">
            <v>92</v>
          </cell>
          <cell r="K143">
            <v>1921</v>
          </cell>
          <cell r="L143">
            <v>1900</v>
          </cell>
        </row>
        <row r="144">
          <cell r="B144" t="str">
            <v>ООС-0104-000229</v>
          </cell>
          <cell r="C144" t="str">
            <v>Сис. Блок Vei8</v>
          </cell>
          <cell r="D144">
            <v>36682</v>
          </cell>
          <cell r="E144">
            <v>6376.88</v>
          </cell>
          <cell r="F144">
            <v>24009</v>
          </cell>
          <cell r="G144">
            <v>92</v>
          </cell>
          <cell r="H144" t="str">
            <v>0</v>
          </cell>
          <cell r="I144" t="str">
            <v>0</v>
          </cell>
          <cell r="J144">
            <v>92</v>
          </cell>
          <cell r="K144">
            <v>1921</v>
          </cell>
          <cell r="L144">
            <v>1900</v>
          </cell>
        </row>
        <row r="145">
          <cell r="B145" t="str">
            <v>ООС-0104-000230</v>
          </cell>
          <cell r="C145" t="str">
            <v>Сис. Блок Vei8</v>
          </cell>
          <cell r="D145">
            <v>36682</v>
          </cell>
          <cell r="E145">
            <v>6376.88</v>
          </cell>
          <cell r="F145">
            <v>24009</v>
          </cell>
          <cell r="G145">
            <v>92</v>
          </cell>
          <cell r="H145" t="str">
            <v>0</v>
          </cell>
          <cell r="I145" t="str">
            <v>0</v>
          </cell>
          <cell r="J145">
            <v>92</v>
          </cell>
          <cell r="K145">
            <v>1921</v>
          </cell>
          <cell r="L145">
            <v>1900</v>
          </cell>
        </row>
        <row r="146">
          <cell r="B146" t="str">
            <v>ООС-0104-000231</v>
          </cell>
          <cell r="C146" t="str">
            <v>Сис. Блок Vei8</v>
          </cell>
          <cell r="D146">
            <v>36682</v>
          </cell>
          <cell r="E146">
            <v>6376.88</v>
          </cell>
          <cell r="F146">
            <v>24009</v>
          </cell>
          <cell r="G146">
            <v>92</v>
          </cell>
          <cell r="H146" t="str">
            <v>0</v>
          </cell>
          <cell r="I146" t="str">
            <v>0</v>
          </cell>
          <cell r="J146">
            <v>92</v>
          </cell>
          <cell r="K146">
            <v>1921</v>
          </cell>
          <cell r="L146">
            <v>1900</v>
          </cell>
        </row>
        <row r="147">
          <cell r="B147" t="str">
            <v>ООС-0104-000298</v>
          </cell>
          <cell r="C147" t="str">
            <v>Принтер HPLJ4050N</v>
          </cell>
          <cell r="D147">
            <v>36708</v>
          </cell>
          <cell r="E147">
            <v>18199.98</v>
          </cell>
          <cell r="F147">
            <v>44522</v>
          </cell>
          <cell r="G147">
            <v>90</v>
          </cell>
          <cell r="H147" t="str">
            <v>0</v>
          </cell>
          <cell r="I147" t="str">
            <v>0</v>
          </cell>
          <cell r="J147">
            <v>90</v>
          </cell>
          <cell r="K147">
            <v>4452</v>
          </cell>
          <cell r="L147">
            <v>4500</v>
          </cell>
        </row>
        <row r="148">
          <cell r="B148" t="str">
            <v>ООС-0104-000300</v>
          </cell>
          <cell r="C148" t="str">
            <v>Сис. Блок Vei7</v>
          </cell>
          <cell r="D148">
            <v>36735</v>
          </cell>
          <cell r="E148">
            <v>10126.120000000001</v>
          </cell>
          <cell r="F148">
            <v>16955</v>
          </cell>
          <cell r="G148">
            <v>88</v>
          </cell>
          <cell r="H148" t="str">
            <v>0</v>
          </cell>
          <cell r="I148" t="str">
            <v>0</v>
          </cell>
          <cell r="J148">
            <v>88</v>
          </cell>
          <cell r="K148">
            <v>2035</v>
          </cell>
          <cell r="L148">
            <v>2000</v>
          </cell>
        </row>
        <row r="149">
          <cell r="B149" t="str">
            <v>ООС-0104-000306</v>
          </cell>
          <cell r="C149" t="str">
            <v>Серверный шкаф</v>
          </cell>
          <cell r="D149">
            <v>36755</v>
          </cell>
          <cell r="E149">
            <v>7988.04</v>
          </cell>
          <cell r="F149">
            <v>8612</v>
          </cell>
          <cell r="G149">
            <v>88</v>
          </cell>
          <cell r="H149" t="str">
            <v>0</v>
          </cell>
          <cell r="I149" t="str">
            <v>0</v>
          </cell>
          <cell r="J149">
            <v>88</v>
          </cell>
          <cell r="K149">
            <v>1033</v>
          </cell>
          <cell r="L149">
            <v>1000</v>
          </cell>
        </row>
        <row r="150">
          <cell r="B150" t="str">
            <v>ООС-0104-000310</v>
          </cell>
          <cell r="C150" t="str">
            <v>Сис. Блок Vei7</v>
          </cell>
          <cell r="D150">
            <v>36770</v>
          </cell>
          <cell r="E150">
            <v>4876.1000000000004</v>
          </cell>
          <cell r="F150">
            <v>16955</v>
          </cell>
          <cell r="G150">
            <v>87</v>
          </cell>
          <cell r="H150" t="str">
            <v>0</v>
          </cell>
          <cell r="I150" t="str">
            <v>0</v>
          </cell>
          <cell r="J150">
            <v>87</v>
          </cell>
          <cell r="K150">
            <v>2204</v>
          </cell>
          <cell r="L150">
            <v>2200</v>
          </cell>
        </row>
        <row r="151">
          <cell r="B151" t="str">
            <v>ООС-0104-000345</v>
          </cell>
          <cell r="C151" t="str">
            <v>Сетевое обор.SSwitch6000</v>
          </cell>
          <cell r="D151">
            <v>36861</v>
          </cell>
          <cell r="E151">
            <v>32470.49</v>
          </cell>
          <cell r="F151">
            <v>13475</v>
          </cell>
          <cell r="G151">
            <v>82</v>
          </cell>
          <cell r="H151" t="str">
            <v>0</v>
          </cell>
          <cell r="I151" t="str">
            <v>0</v>
          </cell>
          <cell r="J151">
            <v>82</v>
          </cell>
          <cell r="K151">
            <v>2426</v>
          </cell>
          <cell r="L151">
            <v>2400</v>
          </cell>
        </row>
        <row r="152">
          <cell r="B152" t="str">
            <v>ООС-0104-000346</v>
          </cell>
          <cell r="C152" t="str">
            <v>Сис. Блок HP-7</v>
          </cell>
          <cell r="D152">
            <v>36879</v>
          </cell>
          <cell r="E152">
            <v>19395.04</v>
          </cell>
          <cell r="F152">
            <v>16955</v>
          </cell>
          <cell r="G152">
            <v>82</v>
          </cell>
          <cell r="H152" t="str">
            <v>0</v>
          </cell>
          <cell r="I152" t="str">
            <v>0</v>
          </cell>
          <cell r="J152">
            <v>82</v>
          </cell>
          <cell r="K152">
            <v>3052</v>
          </cell>
          <cell r="L152">
            <v>3100</v>
          </cell>
        </row>
        <row r="153">
          <cell r="B153" t="str">
            <v>ООС-0104-000347</v>
          </cell>
          <cell r="C153" t="str">
            <v>Сервер HP LH6000</v>
          </cell>
          <cell r="D153">
            <v>36861</v>
          </cell>
          <cell r="E153">
            <v>817937.86</v>
          </cell>
          <cell r="F153">
            <v>227871</v>
          </cell>
          <cell r="G153">
            <v>82</v>
          </cell>
          <cell r="H153" t="str">
            <v>0</v>
          </cell>
          <cell r="I153" t="str">
            <v>0</v>
          </cell>
          <cell r="J153">
            <v>82</v>
          </cell>
          <cell r="K153">
            <v>41017</v>
          </cell>
          <cell r="L153">
            <v>41000</v>
          </cell>
        </row>
        <row r="154">
          <cell r="B154" t="str">
            <v>ООС-0104-000462</v>
          </cell>
          <cell r="C154" t="str">
            <v>Телеф.Panasonic KT-ST15</v>
          </cell>
          <cell r="D154">
            <v>37165</v>
          </cell>
          <cell r="E154">
            <v>0</v>
          </cell>
          <cell r="F154">
            <v>5096</v>
          </cell>
          <cell r="G154">
            <v>65</v>
          </cell>
          <cell r="H154" t="str">
            <v>0</v>
          </cell>
          <cell r="I154" t="str">
            <v>0</v>
          </cell>
          <cell r="J154">
            <v>65</v>
          </cell>
          <cell r="K154">
            <v>1784</v>
          </cell>
          <cell r="L154">
            <v>1800</v>
          </cell>
        </row>
        <row r="155">
          <cell r="B155" t="str">
            <v>ООС-0104-000548</v>
          </cell>
          <cell r="C155" t="str">
            <v>Сетевое обор.Cabletron</v>
          </cell>
          <cell r="D155">
            <v>37316</v>
          </cell>
          <cell r="E155">
            <v>97177.73</v>
          </cell>
          <cell r="F155">
            <v>32898</v>
          </cell>
          <cell r="G155">
            <v>57</v>
          </cell>
          <cell r="H155" t="str">
            <v>0</v>
          </cell>
          <cell r="I155" t="str">
            <v>0</v>
          </cell>
          <cell r="J155">
            <v>57</v>
          </cell>
          <cell r="K155">
            <v>14146</v>
          </cell>
          <cell r="L155">
            <v>14000</v>
          </cell>
        </row>
        <row r="156">
          <cell r="B156" t="str">
            <v>ООС-0104-000561</v>
          </cell>
          <cell r="C156" t="str">
            <v>Сис. Блок VL420</v>
          </cell>
          <cell r="D156">
            <v>37316</v>
          </cell>
          <cell r="E156">
            <v>11491.04</v>
          </cell>
          <cell r="F156">
            <v>25374</v>
          </cell>
          <cell r="G156">
            <v>57</v>
          </cell>
          <cell r="H156" t="str">
            <v>0</v>
          </cell>
          <cell r="I156" t="str">
            <v>0</v>
          </cell>
          <cell r="J156">
            <v>57</v>
          </cell>
          <cell r="K156">
            <v>10911</v>
          </cell>
          <cell r="L156">
            <v>11000</v>
          </cell>
        </row>
        <row r="157">
          <cell r="B157" t="str">
            <v>ООС-0104-000562</v>
          </cell>
          <cell r="C157" t="str">
            <v>Сис. Блок VL420</v>
          </cell>
          <cell r="D157">
            <v>37316</v>
          </cell>
          <cell r="E157">
            <v>11491.04</v>
          </cell>
          <cell r="F157">
            <v>25374</v>
          </cell>
          <cell r="G157">
            <v>57</v>
          </cell>
          <cell r="H157" t="str">
            <v>0</v>
          </cell>
          <cell r="I157" t="str">
            <v>0</v>
          </cell>
          <cell r="J157">
            <v>57</v>
          </cell>
          <cell r="K157">
            <v>10911</v>
          </cell>
          <cell r="L157">
            <v>11000</v>
          </cell>
        </row>
        <row r="158">
          <cell r="B158" t="str">
            <v>ООС-0104-000564</v>
          </cell>
          <cell r="C158" t="str">
            <v>Сис. Блок VL420</v>
          </cell>
          <cell r="D158">
            <v>37316</v>
          </cell>
          <cell r="E158">
            <v>11491.04</v>
          </cell>
          <cell r="F158">
            <v>25374</v>
          </cell>
          <cell r="G158">
            <v>57</v>
          </cell>
          <cell r="H158" t="str">
            <v>0</v>
          </cell>
          <cell r="I158" t="str">
            <v>0</v>
          </cell>
          <cell r="J158">
            <v>57</v>
          </cell>
          <cell r="K158">
            <v>10911</v>
          </cell>
          <cell r="L158">
            <v>11000</v>
          </cell>
        </row>
        <row r="159">
          <cell r="B159" t="str">
            <v>ООС-0104-000610</v>
          </cell>
          <cell r="C159" t="str">
            <v>Принтер HPLJ2200</v>
          </cell>
          <cell r="D159">
            <v>37622</v>
          </cell>
          <cell r="E159">
            <v>13221.12</v>
          </cell>
          <cell r="F159">
            <v>25928</v>
          </cell>
          <cell r="G159">
            <v>40</v>
          </cell>
          <cell r="H159" t="str">
            <v>0</v>
          </cell>
          <cell r="I159" t="str">
            <v>0</v>
          </cell>
          <cell r="J159">
            <v>40</v>
          </cell>
          <cell r="K159">
            <v>15557</v>
          </cell>
          <cell r="L159">
            <v>16000</v>
          </cell>
        </row>
        <row r="160">
          <cell r="B160" t="str">
            <v>ООС-0104-000730</v>
          </cell>
          <cell r="C160" t="str">
            <v xml:space="preserve">Сервер Москва </v>
          </cell>
          <cell r="D160">
            <v>37622</v>
          </cell>
          <cell r="E160">
            <v>584452.55000000005</v>
          </cell>
          <cell r="F160">
            <v>227871</v>
          </cell>
          <cell r="G160">
            <v>40</v>
          </cell>
          <cell r="H160" t="str">
            <v>0</v>
          </cell>
          <cell r="I160" t="str">
            <v>0</v>
          </cell>
          <cell r="J160">
            <v>40</v>
          </cell>
          <cell r="K160">
            <v>136723</v>
          </cell>
          <cell r="L160">
            <v>137000</v>
          </cell>
        </row>
        <row r="161">
          <cell r="B161" t="str">
            <v>ООС-0104-000732</v>
          </cell>
          <cell r="C161" t="str">
            <v>Сис. Блок VI410</v>
          </cell>
          <cell r="D161">
            <v>37622</v>
          </cell>
          <cell r="E161">
            <v>11605.71</v>
          </cell>
          <cell r="F161">
            <v>19894</v>
          </cell>
          <cell r="G161">
            <v>40</v>
          </cell>
          <cell r="H161" t="str">
            <v>0</v>
          </cell>
          <cell r="I161" t="str">
            <v>0</v>
          </cell>
          <cell r="J161">
            <v>40</v>
          </cell>
          <cell r="K161">
            <v>11936</v>
          </cell>
          <cell r="L161">
            <v>12000</v>
          </cell>
        </row>
        <row r="162">
          <cell r="B162" t="str">
            <v>ООС-0104-000764</v>
          </cell>
          <cell r="C162" t="str">
            <v>Копп. Апп. MB9408</v>
          </cell>
          <cell r="D162">
            <v>37656</v>
          </cell>
          <cell r="E162">
            <v>11935.14</v>
          </cell>
          <cell r="F162">
            <v>36864</v>
          </cell>
          <cell r="G162">
            <v>38</v>
          </cell>
          <cell r="H162" t="str">
            <v>0</v>
          </cell>
          <cell r="I162" t="str">
            <v>0</v>
          </cell>
          <cell r="J162">
            <v>38</v>
          </cell>
          <cell r="K162">
            <v>22856</v>
          </cell>
          <cell r="L162">
            <v>23000</v>
          </cell>
        </row>
        <row r="163">
          <cell r="B163" t="str">
            <v>ООС-0104-000777</v>
          </cell>
          <cell r="C163" t="str">
            <v>Сис. Блок+монитор VL400</v>
          </cell>
          <cell r="D163">
            <v>37681</v>
          </cell>
          <cell r="E163">
            <v>15833.01</v>
          </cell>
          <cell r="F163">
            <v>17190</v>
          </cell>
          <cell r="G163">
            <v>37</v>
          </cell>
          <cell r="H163" t="str">
            <v>0</v>
          </cell>
          <cell r="I163" t="str">
            <v>0</v>
          </cell>
          <cell r="J163">
            <v>37</v>
          </cell>
          <cell r="K163">
            <v>10830</v>
          </cell>
          <cell r="L163">
            <v>11000</v>
          </cell>
        </row>
        <row r="164">
          <cell r="B164" t="str">
            <v>ООС-0104-000778</v>
          </cell>
          <cell r="C164" t="str">
            <v>Сис. Блок Vei7</v>
          </cell>
          <cell r="D164">
            <v>37681</v>
          </cell>
          <cell r="E164">
            <v>19331.580000000002</v>
          </cell>
          <cell r="F164">
            <v>16955</v>
          </cell>
          <cell r="G164">
            <v>37</v>
          </cell>
          <cell r="H164" t="str">
            <v>0</v>
          </cell>
          <cell r="I164" t="str">
            <v>0</v>
          </cell>
          <cell r="J164">
            <v>37</v>
          </cell>
          <cell r="K164">
            <v>10682</v>
          </cell>
          <cell r="L164">
            <v>11000</v>
          </cell>
        </row>
        <row r="165">
          <cell r="B165" t="str">
            <v>ООС-0104-000779</v>
          </cell>
          <cell r="C165" t="str">
            <v>Сис. Блок+монитор VL400</v>
          </cell>
          <cell r="D165">
            <v>37681</v>
          </cell>
          <cell r="E165">
            <v>19331.439999999999</v>
          </cell>
          <cell r="F165">
            <v>17190</v>
          </cell>
          <cell r="G165">
            <v>37</v>
          </cell>
          <cell r="H165" t="str">
            <v>0</v>
          </cell>
          <cell r="I165" t="str">
            <v>0</v>
          </cell>
          <cell r="J165">
            <v>37</v>
          </cell>
          <cell r="K165">
            <v>10830</v>
          </cell>
          <cell r="L165">
            <v>11000</v>
          </cell>
        </row>
        <row r="166">
          <cell r="B166" t="str">
            <v>ООС-0104-000792</v>
          </cell>
          <cell r="C166" t="str">
            <v>Сервер HP LH2</v>
          </cell>
          <cell r="D166">
            <v>37712</v>
          </cell>
          <cell r="E166">
            <v>173481.85</v>
          </cell>
          <cell r="F166">
            <v>213560</v>
          </cell>
          <cell r="G166">
            <v>35</v>
          </cell>
          <cell r="H166" t="str">
            <v>0</v>
          </cell>
          <cell r="I166" t="str">
            <v>0</v>
          </cell>
          <cell r="J166">
            <v>35</v>
          </cell>
          <cell r="K166">
            <v>138814</v>
          </cell>
          <cell r="L166">
            <v>139000</v>
          </cell>
        </row>
        <row r="167">
          <cell r="B167" t="str">
            <v>ООС-0104-000937</v>
          </cell>
          <cell r="C167" t="str">
            <v>Факс Panasonic FL503</v>
          </cell>
          <cell r="D167">
            <v>37949</v>
          </cell>
          <cell r="E167">
            <v>8057.26</v>
          </cell>
          <cell r="F167">
            <v>8729</v>
          </cell>
          <cell r="G167">
            <v>22</v>
          </cell>
          <cell r="H167" t="str">
            <v>0</v>
          </cell>
          <cell r="I167" t="str">
            <v>0</v>
          </cell>
          <cell r="J167">
            <v>22</v>
          </cell>
          <cell r="K167">
            <v>6809</v>
          </cell>
          <cell r="L167">
            <v>6800</v>
          </cell>
        </row>
        <row r="168">
          <cell r="B168" t="str">
            <v>ООС-0104-000939</v>
          </cell>
          <cell r="C168" t="str">
            <v>Ноутбук satell SA20-S203</v>
          </cell>
          <cell r="D168">
            <v>37972</v>
          </cell>
          <cell r="E168">
            <v>58748.84</v>
          </cell>
          <cell r="F168">
            <v>41129</v>
          </cell>
          <cell r="G168">
            <v>22</v>
          </cell>
          <cell r="H168" t="str">
            <v>0</v>
          </cell>
          <cell r="I168" t="str">
            <v>0</v>
          </cell>
          <cell r="J168">
            <v>22</v>
          </cell>
          <cell r="K168">
            <v>32081</v>
          </cell>
          <cell r="L168">
            <v>32000</v>
          </cell>
        </row>
        <row r="169">
          <cell r="B169" t="str">
            <v>ООС-0104-000940</v>
          </cell>
          <cell r="C169" t="str">
            <v>Ноутбук Satell SA10-S703</v>
          </cell>
          <cell r="D169">
            <v>37980</v>
          </cell>
          <cell r="E169">
            <v>35379.93</v>
          </cell>
          <cell r="F169">
            <v>54059</v>
          </cell>
          <cell r="G169">
            <v>20</v>
          </cell>
          <cell r="H169" t="str">
            <v>0</v>
          </cell>
          <cell r="I169" t="str">
            <v>0</v>
          </cell>
          <cell r="J169">
            <v>20</v>
          </cell>
          <cell r="K169">
            <v>43247</v>
          </cell>
          <cell r="L169">
            <v>43000</v>
          </cell>
        </row>
        <row r="170">
          <cell r="B170" t="str">
            <v>ООС-0104-000941</v>
          </cell>
          <cell r="C170" t="str">
            <v>Ноутбук Satell SA30-213</v>
          </cell>
          <cell r="D170">
            <v>37980</v>
          </cell>
          <cell r="E170">
            <v>37049.57</v>
          </cell>
          <cell r="F170">
            <v>41129</v>
          </cell>
          <cell r="G170">
            <v>20</v>
          </cell>
          <cell r="H170" t="str">
            <v>0</v>
          </cell>
          <cell r="I170" t="str">
            <v>0</v>
          </cell>
          <cell r="J170">
            <v>20</v>
          </cell>
          <cell r="K170">
            <v>32903</v>
          </cell>
          <cell r="L170">
            <v>33000</v>
          </cell>
        </row>
        <row r="171">
          <cell r="B171" t="str">
            <v>ООС-0104-000967</v>
          </cell>
          <cell r="C171" t="str">
            <v>Сис. Блок HP E-PC</v>
          </cell>
          <cell r="D171">
            <v>38034</v>
          </cell>
          <cell r="E171">
            <v>16793.12</v>
          </cell>
          <cell r="F171">
            <v>16955</v>
          </cell>
          <cell r="G171">
            <v>18</v>
          </cell>
          <cell r="H171" t="str">
            <v>0</v>
          </cell>
          <cell r="I171" t="str">
            <v>0</v>
          </cell>
          <cell r="J171">
            <v>18</v>
          </cell>
          <cell r="K171">
            <v>13903</v>
          </cell>
          <cell r="L171">
            <v>14000</v>
          </cell>
        </row>
        <row r="172">
          <cell r="B172" t="str">
            <v>ООС-0104-000968</v>
          </cell>
          <cell r="C172" t="str">
            <v>Сис. Блок Vei8</v>
          </cell>
          <cell r="D172">
            <v>38034</v>
          </cell>
          <cell r="E172">
            <v>16793.12</v>
          </cell>
          <cell r="F172">
            <v>24009</v>
          </cell>
          <cell r="G172">
            <v>18</v>
          </cell>
          <cell r="H172" t="str">
            <v>0</v>
          </cell>
          <cell r="I172" t="str">
            <v>0</v>
          </cell>
          <cell r="J172">
            <v>18</v>
          </cell>
          <cell r="K172">
            <v>19687</v>
          </cell>
          <cell r="L172">
            <v>20000</v>
          </cell>
        </row>
        <row r="173">
          <cell r="B173" t="str">
            <v>ООС-0104-000977</v>
          </cell>
          <cell r="C173" t="str">
            <v>Ноутбук satell Pro4340</v>
          </cell>
          <cell r="D173">
            <v>38076</v>
          </cell>
          <cell r="E173">
            <v>28212.2</v>
          </cell>
          <cell r="F173">
            <v>14746</v>
          </cell>
          <cell r="G173">
            <v>15</v>
          </cell>
          <cell r="H173" t="str">
            <v>0</v>
          </cell>
          <cell r="I173" t="str">
            <v>0</v>
          </cell>
          <cell r="J173">
            <v>15</v>
          </cell>
          <cell r="K173">
            <v>12534</v>
          </cell>
          <cell r="L173">
            <v>13000</v>
          </cell>
        </row>
        <row r="174">
          <cell r="B174" t="str">
            <v>ООС-0104-000978</v>
          </cell>
          <cell r="C174" t="str">
            <v>Ноутбук Satell Pro440CDX</v>
          </cell>
          <cell r="D174">
            <v>38076</v>
          </cell>
          <cell r="E174">
            <v>28212.2</v>
          </cell>
          <cell r="F174">
            <v>14746</v>
          </cell>
          <cell r="G174">
            <v>15</v>
          </cell>
          <cell r="H174" t="str">
            <v>0</v>
          </cell>
          <cell r="I174" t="str">
            <v>0</v>
          </cell>
          <cell r="J174">
            <v>15</v>
          </cell>
          <cell r="K174">
            <v>12534</v>
          </cell>
          <cell r="L174">
            <v>13000</v>
          </cell>
        </row>
        <row r="175">
          <cell r="B175" t="str">
            <v>ООС-0104-000979</v>
          </cell>
          <cell r="C175" t="str">
            <v>Ноутбук Satell Pro 4600</v>
          </cell>
          <cell r="D175">
            <v>38076</v>
          </cell>
          <cell r="E175">
            <v>28212.2</v>
          </cell>
          <cell r="F175">
            <v>14746</v>
          </cell>
          <cell r="G175">
            <v>15</v>
          </cell>
          <cell r="H175" t="str">
            <v>0</v>
          </cell>
          <cell r="I175" t="str">
            <v>0</v>
          </cell>
          <cell r="J175">
            <v>15</v>
          </cell>
          <cell r="K175">
            <v>12534</v>
          </cell>
          <cell r="L175">
            <v>13000</v>
          </cell>
        </row>
        <row r="176">
          <cell r="B176" t="str">
            <v>ООС-0104-000980</v>
          </cell>
          <cell r="C176" t="str">
            <v>Ноутбук Satell S5100-501</v>
          </cell>
          <cell r="D176">
            <v>38076</v>
          </cell>
          <cell r="E176">
            <v>28212.2</v>
          </cell>
          <cell r="F176">
            <v>32452</v>
          </cell>
          <cell r="G176">
            <v>15</v>
          </cell>
          <cell r="H176" t="str">
            <v>0</v>
          </cell>
          <cell r="I176" t="str">
            <v>0</v>
          </cell>
          <cell r="J176">
            <v>15</v>
          </cell>
          <cell r="K176">
            <v>27584</v>
          </cell>
          <cell r="L176">
            <v>28000</v>
          </cell>
        </row>
        <row r="177">
          <cell r="B177" t="str">
            <v>ООС-0104-000997</v>
          </cell>
          <cell r="C177" t="str">
            <v>Сетевое обор. Cisco2950</v>
          </cell>
          <cell r="D177">
            <v>38077</v>
          </cell>
          <cell r="E177">
            <v>15608.41</v>
          </cell>
          <cell r="F177">
            <v>92864</v>
          </cell>
          <cell r="G177">
            <v>15</v>
          </cell>
          <cell r="H177" t="str">
            <v>0</v>
          </cell>
          <cell r="I177" t="str">
            <v>0</v>
          </cell>
          <cell r="J177">
            <v>15</v>
          </cell>
          <cell r="K177">
            <v>78934</v>
          </cell>
          <cell r="L177">
            <v>79000</v>
          </cell>
        </row>
        <row r="178">
          <cell r="B178" t="str">
            <v>ООС-0104-000999</v>
          </cell>
          <cell r="C178" t="str">
            <v>Сетевое обор. Cisco2620</v>
          </cell>
          <cell r="D178">
            <v>38077</v>
          </cell>
          <cell r="E178">
            <v>38178.71</v>
          </cell>
          <cell r="F178">
            <v>53428</v>
          </cell>
          <cell r="G178">
            <v>15</v>
          </cell>
          <cell r="H178" t="str">
            <v>0</v>
          </cell>
          <cell r="I178" t="str">
            <v>0</v>
          </cell>
          <cell r="J178">
            <v>15</v>
          </cell>
          <cell r="K178">
            <v>45414</v>
          </cell>
          <cell r="L178">
            <v>45000</v>
          </cell>
        </row>
        <row r="179">
          <cell r="B179" t="str">
            <v>ООС-0104-001000</v>
          </cell>
          <cell r="C179" t="str">
            <v>сис. Блок HP D330</v>
          </cell>
          <cell r="D179">
            <v>38092</v>
          </cell>
          <cell r="E179">
            <v>19228.89</v>
          </cell>
          <cell r="F179">
            <v>12534</v>
          </cell>
          <cell r="G179">
            <v>15</v>
          </cell>
          <cell r="H179" t="str">
            <v>0</v>
          </cell>
          <cell r="I179" t="str">
            <v>0</v>
          </cell>
          <cell r="J179">
            <v>15</v>
          </cell>
          <cell r="K179">
            <v>10654</v>
          </cell>
          <cell r="L179">
            <v>11000</v>
          </cell>
        </row>
        <row r="180">
          <cell r="B180" t="str">
            <v>ООС-0104-001001</v>
          </cell>
          <cell r="C180" t="str">
            <v>сис. Блок HP D330</v>
          </cell>
          <cell r="D180">
            <v>38092</v>
          </cell>
          <cell r="E180">
            <v>19228.89</v>
          </cell>
          <cell r="F180">
            <v>12534</v>
          </cell>
          <cell r="G180">
            <v>15</v>
          </cell>
          <cell r="H180" t="str">
            <v>0</v>
          </cell>
          <cell r="I180" t="str">
            <v>0</v>
          </cell>
          <cell r="J180">
            <v>15</v>
          </cell>
          <cell r="K180">
            <v>10654</v>
          </cell>
          <cell r="L180">
            <v>11000</v>
          </cell>
        </row>
        <row r="181">
          <cell r="B181" t="str">
            <v>ООС-0104-001002</v>
          </cell>
          <cell r="C181" t="str">
            <v>Процессор WS MI5i</v>
          </cell>
          <cell r="D181">
            <v>38103</v>
          </cell>
          <cell r="E181">
            <v>17797.68</v>
          </cell>
          <cell r="F181">
            <v>67724</v>
          </cell>
          <cell r="G181">
            <v>13</v>
          </cell>
          <cell r="H181" t="str">
            <v>0</v>
          </cell>
          <cell r="I181" t="str">
            <v>0</v>
          </cell>
          <cell r="J181">
            <v>13</v>
          </cell>
          <cell r="K181">
            <v>58920</v>
          </cell>
          <cell r="L181">
            <v>59000</v>
          </cell>
        </row>
        <row r="182">
          <cell r="B182" t="str">
            <v>ООС-0104-001009</v>
          </cell>
          <cell r="C182" t="str">
            <v>Сетевое обор. Cisko2620V</v>
          </cell>
          <cell r="D182">
            <v>38108</v>
          </cell>
          <cell r="E182">
            <v>31148.23</v>
          </cell>
          <cell r="F182">
            <v>53428</v>
          </cell>
          <cell r="G182">
            <v>13</v>
          </cell>
          <cell r="H182" t="str">
            <v>0</v>
          </cell>
          <cell r="I182" t="str">
            <v>0</v>
          </cell>
          <cell r="J182">
            <v>13</v>
          </cell>
          <cell r="K182">
            <v>46482</v>
          </cell>
          <cell r="L182">
            <v>46000</v>
          </cell>
        </row>
        <row r="183">
          <cell r="B183" t="str">
            <v>ООС-0104-001022</v>
          </cell>
          <cell r="C183" t="str">
            <v>Сервер  HPDL380R03</v>
          </cell>
          <cell r="D183">
            <v>38223</v>
          </cell>
          <cell r="E183">
            <v>85484.86</v>
          </cell>
          <cell r="F183">
            <v>85974</v>
          </cell>
          <cell r="G183">
            <v>7</v>
          </cell>
          <cell r="H183" t="str">
            <v>0</v>
          </cell>
          <cell r="I183" t="str">
            <v>0</v>
          </cell>
          <cell r="J183">
            <v>7</v>
          </cell>
          <cell r="K183">
            <v>79956</v>
          </cell>
          <cell r="L183">
            <v>80000</v>
          </cell>
        </row>
        <row r="184">
          <cell r="B184" t="str">
            <v>ООС-0104-001023</v>
          </cell>
          <cell r="C184" t="str">
            <v>Сервер HPDL380R03</v>
          </cell>
          <cell r="D184">
            <v>38223</v>
          </cell>
          <cell r="E184">
            <v>85484.86</v>
          </cell>
          <cell r="F184">
            <v>85974</v>
          </cell>
          <cell r="G184">
            <v>7</v>
          </cell>
          <cell r="H184" t="str">
            <v>0</v>
          </cell>
          <cell r="I184" t="str">
            <v>0</v>
          </cell>
          <cell r="J184">
            <v>7</v>
          </cell>
          <cell r="K184">
            <v>79956</v>
          </cell>
          <cell r="L184">
            <v>80000</v>
          </cell>
        </row>
        <row r="185">
          <cell r="B185" t="str">
            <v>ООС-0104-001024</v>
          </cell>
          <cell r="C185" t="str">
            <v>Модуль памяти 1GB</v>
          </cell>
          <cell r="D185">
            <v>38223</v>
          </cell>
          <cell r="E185">
            <v>16109.88</v>
          </cell>
          <cell r="F185">
            <v>16297</v>
          </cell>
          <cell r="G185">
            <v>7</v>
          </cell>
          <cell r="H185" t="str">
            <v>0</v>
          </cell>
          <cell r="I185" t="str">
            <v>0</v>
          </cell>
          <cell r="J185">
            <v>7</v>
          </cell>
          <cell r="K185">
            <v>15156</v>
          </cell>
          <cell r="L185">
            <v>15000</v>
          </cell>
        </row>
        <row r="186">
          <cell r="B186" t="str">
            <v>ООС-0104-001026</v>
          </cell>
          <cell r="C186" t="str">
            <v>Стриммер Hpдля серверов</v>
          </cell>
          <cell r="D186">
            <v>38223</v>
          </cell>
          <cell r="E186">
            <v>33348.080000000002</v>
          </cell>
          <cell r="F186">
            <v>26186</v>
          </cell>
          <cell r="G186">
            <v>7</v>
          </cell>
          <cell r="H186" t="str">
            <v>0</v>
          </cell>
          <cell r="I186" t="str">
            <v>0</v>
          </cell>
          <cell r="J186">
            <v>7</v>
          </cell>
          <cell r="K186">
            <v>24353</v>
          </cell>
          <cell r="L186">
            <v>24000</v>
          </cell>
        </row>
        <row r="187">
          <cell r="B187" t="str">
            <v>ООС-0104-001027</v>
          </cell>
          <cell r="C187" t="str">
            <v>Монитор VP171s17</v>
          </cell>
          <cell r="D187">
            <v>38223</v>
          </cell>
          <cell r="E187">
            <v>32607.01</v>
          </cell>
          <cell r="F187">
            <v>11231</v>
          </cell>
          <cell r="G187">
            <v>7</v>
          </cell>
          <cell r="H187" t="str">
            <v>0</v>
          </cell>
          <cell r="I187" t="str">
            <v>0</v>
          </cell>
          <cell r="J187">
            <v>7</v>
          </cell>
          <cell r="K187">
            <v>10445</v>
          </cell>
          <cell r="L187">
            <v>10000</v>
          </cell>
        </row>
        <row r="188">
          <cell r="B188" t="str">
            <v>ООС-0104-001028</v>
          </cell>
          <cell r="C188" t="str">
            <v>Монитор VP171s17</v>
          </cell>
          <cell r="D188">
            <v>38223</v>
          </cell>
          <cell r="E188">
            <v>32607.01</v>
          </cell>
          <cell r="F188">
            <v>11231</v>
          </cell>
          <cell r="G188">
            <v>7</v>
          </cell>
          <cell r="H188" t="str">
            <v>0</v>
          </cell>
          <cell r="I188" t="str">
            <v>0</v>
          </cell>
          <cell r="J188">
            <v>7</v>
          </cell>
          <cell r="K188">
            <v>10445</v>
          </cell>
          <cell r="L188">
            <v>10000</v>
          </cell>
        </row>
        <row r="189">
          <cell r="B189" t="str">
            <v>ООС-0104-001029</v>
          </cell>
          <cell r="C189" t="str">
            <v>Монитор VP171s17</v>
          </cell>
          <cell r="D189">
            <v>38223</v>
          </cell>
          <cell r="E189">
            <v>32607.01</v>
          </cell>
          <cell r="F189">
            <v>11231</v>
          </cell>
          <cell r="G189">
            <v>7</v>
          </cell>
          <cell r="H189" t="str">
            <v>0</v>
          </cell>
          <cell r="I189" t="str">
            <v>0</v>
          </cell>
          <cell r="J189">
            <v>7</v>
          </cell>
          <cell r="K189">
            <v>10445</v>
          </cell>
          <cell r="L189">
            <v>10000</v>
          </cell>
        </row>
        <row r="190">
          <cell r="B190" t="str">
            <v>ООС-0104-001039</v>
          </cell>
          <cell r="C190" t="str">
            <v>Кондиционер WSA 073BE</v>
          </cell>
          <cell r="D190">
            <v>38223</v>
          </cell>
          <cell r="E190">
            <v>14754.09</v>
          </cell>
          <cell r="F190">
            <v>15756</v>
          </cell>
          <cell r="G190">
            <v>5</v>
          </cell>
          <cell r="H190" t="str">
            <v>0</v>
          </cell>
          <cell r="I190" t="str">
            <v>0</v>
          </cell>
          <cell r="J190">
            <v>5</v>
          </cell>
          <cell r="K190">
            <v>14968</v>
          </cell>
          <cell r="L190">
            <v>15000</v>
          </cell>
        </row>
        <row r="191">
          <cell r="B191" t="str">
            <v>ООС-0104-000704</v>
          </cell>
          <cell r="C191" t="str">
            <v>Ноутбук  Satell 5005-S504</v>
          </cell>
          <cell r="D191">
            <v>37622</v>
          </cell>
          <cell r="E191">
            <v>51082.04</v>
          </cell>
          <cell r="F191">
            <v>44681</v>
          </cell>
          <cell r="G191">
            <v>40</v>
          </cell>
          <cell r="H191" t="str">
            <v>0</v>
          </cell>
          <cell r="I191" t="str">
            <v>0</v>
          </cell>
          <cell r="J191">
            <v>40</v>
          </cell>
          <cell r="K191">
            <v>26809</v>
          </cell>
          <cell r="L191">
            <v>27000</v>
          </cell>
        </row>
        <row r="192">
          <cell r="B192" t="str">
            <v>ООС-0104-000708</v>
          </cell>
          <cell r="C192" t="str">
            <v>Сис. Блок VI420</v>
          </cell>
          <cell r="D192">
            <v>37622</v>
          </cell>
          <cell r="E192">
            <v>15184.59</v>
          </cell>
          <cell r="F192">
            <v>25374</v>
          </cell>
          <cell r="G192">
            <v>40</v>
          </cell>
          <cell r="H192" t="str">
            <v>0</v>
          </cell>
          <cell r="I192" t="str">
            <v>0</v>
          </cell>
          <cell r="J192">
            <v>40</v>
          </cell>
          <cell r="K192">
            <v>15224</v>
          </cell>
          <cell r="L192">
            <v>15000</v>
          </cell>
        </row>
        <row r="193">
          <cell r="B193" t="str">
            <v>ООС-0104-001040</v>
          </cell>
          <cell r="C193" t="str">
            <v>Сис. Блок P4-2.4/512/40GB</v>
          </cell>
          <cell r="D193">
            <v>38254</v>
          </cell>
          <cell r="E193">
            <v>11190.49</v>
          </cell>
          <cell r="F193">
            <v>25374</v>
          </cell>
          <cell r="G193">
            <v>5</v>
          </cell>
          <cell r="H193" t="str">
            <v>0</v>
          </cell>
          <cell r="I193" t="str">
            <v>0</v>
          </cell>
          <cell r="J193">
            <v>5</v>
          </cell>
          <cell r="K193">
            <v>24105</v>
          </cell>
          <cell r="L193">
            <v>24000</v>
          </cell>
        </row>
        <row r="194">
          <cell r="B194" t="str">
            <v>ООС-0105-000371</v>
          </cell>
          <cell r="C194" t="str">
            <v>Шкаф А722К000</v>
          </cell>
          <cell r="D194">
            <v>36922</v>
          </cell>
          <cell r="E194">
            <v>0</v>
          </cell>
          <cell r="F194">
            <v>10305</v>
          </cell>
          <cell r="G194">
            <v>56</v>
          </cell>
          <cell r="H194" t="str">
            <v>0</v>
          </cell>
          <cell r="I194" t="str">
            <v>0</v>
          </cell>
          <cell r="J194">
            <v>56</v>
          </cell>
          <cell r="K194">
            <v>4534</v>
          </cell>
          <cell r="L194">
            <v>4500</v>
          </cell>
        </row>
        <row r="195">
          <cell r="B195" t="str">
            <v>ООС-0105-000372</v>
          </cell>
          <cell r="C195" t="str">
            <v>Шкаф А722К000</v>
          </cell>
          <cell r="D195">
            <v>36922</v>
          </cell>
          <cell r="E195">
            <v>0</v>
          </cell>
          <cell r="F195">
            <v>10305</v>
          </cell>
          <cell r="G195">
            <v>56</v>
          </cell>
          <cell r="H195" t="str">
            <v>0</v>
          </cell>
          <cell r="I195" t="str">
            <v>0</v>
          </cell>
          <cell r="J195">
            <v>56</v>
          </cell>
          <cell r="K195">
            <v>4534</v>
          </cell>
          <cell r="L195">
            <v>4500</v>
          </cell>
        </row>
        <row r="196">
          <cell r="B196" t="str">
            <v>ООС-0105-000373</v>
          </cell>
          <cell r="C196" t="str">
            <v>Шкаф А722К000</v>
          </cell>
          <cell r="D196">
            <v>36922</v>
          </cell>
          <cell r="E196">
            <v>0</v>
          </cell>
          <cell r="F196">
            <v>10305</v>
          </cell>
          <cell r="G196">
            <v>56</v>
          </cell>
          <cell r="H196" t="str">
            <v>0</v>
          </cell>
          <cell r="I196" t="str">
            <v>0</v>
          </cell>
          <cell r="J196">
            <v>56</v>
          </cell>
          <cell r="K196">
            <v>4534</v>
          </cell>
          <cell r="L196">
            <v>4500</v>
          </cell>
        </row>
        <row r="197">
          <cell r="B197" t="str">
            <v>ООС-0105-000374</v>
          </cell>
          <cell r="C197" t="str">
            <v>Шкаф А722К000</v>
          </cell>
          <cell r="D197">
            <v>36922</v>
          </cell>
          <cell r="E197">
            <v>0</v>
          </cell>
          <cell r="F197">
            <v>10305</v>
          </cell>
          <cell r="G197">
            <v>56</v>
          </cell>
          <cell r="H197" t="str">
            <v>0</v>
          </cell>
          <cell r="I197" t="str">
            <v>0</v>
          </cell>
          <cell r="J197">
            <v>56</v>
          </cell>
          <cell r="K197">
            <v>4534</v>
          </cell>
          <cell r="L197">
            <v>4500</v>
          </cell>
        </row>
        <row r="198">
          <cell r="B198" t="str">
            <v>ООС-0105-000426</v>
          </cell>
          <cell r="C198" t="str">
            <v>Сейф Айко 702</v>
          </cell>
          <cell r="D198">
            <v>36983</v>
          </cell>
          <cell r="E198">
            <v>35537.46</v>
          </cell>
          <cell r="F198">
            <v>21409</v>
          </cell>
          <cell r="G198">
            <v>17</v>
          </cell>
          <cell r="H198" t="str">
            <v>0</v>
          </cell>
          <cell r="I198" t="str">
            <v>0</v>
          </cell>
          <cell r="J198">
            <v>17</v>
          </cell>
          <cell r="K198">
            <v>17769</v>
          </cell>
          <cell r="L198">
            <v>18000</v>
          </cell>
        </row>
        <row r="199">
          <cell r="B199" t="str">
            <v>ООС-0104-000104</v>
          </cell>
          <cell r="C199" t="str">
            <v>Сис. Блок Vei8</v>
          </cell>
          <cell r="D199">
            <v>36370</v>
          </cell>
          <cell r="E199">
            <v>1588.76</v>
          </cell>
          <cell r="F199">
            <v>24009</v>
          </cell>
          <cell r="G199">
            <v>97</v>
          </cell>
          <cell r="H199" t="str">
            <v>0</v>
          </cell>
          <cell r="I199" t="str">
            <v>0</v>
          </cell>
          <cell r="J199">
            <v>97</v>
          </cell>
          <cell r="K199">
            <v>720</v>
          </cell>
          <cell r="L199">
            <v>720</v>
          </cell>
        </row>
        <row r="200">
          <cell r="B200" t="str">
            <v>ООС-0104-000158</v>
          </cell>
          <cell r="C200" t="str">
            <v>Рольставни А-55 ,1.875</v>
          </cell>
          <cell r="D200">
            <v>36515</v>
          </cell>
          <cell r="E200">
            <v>13422.44</v>
          </cell>
          <cell r="F200">
            <v>9853</v>
          </cell>
          <cell r="G200">
            <v>97</v>
          </cell>
          <cell r="H200" t="str">
            <v>0</v>
          </cell>
          <cell r="I200" t="str">
            <v>0</v>
          </cell>
          <cell r="J200">
            <v>97</v>
          </cell>
          <cell r="K200">
            <v>296</v>
          </cell>
          <cell r="L200">
            <v>300</v>
          </cell>
        </row>
        <row r="201">
          <cell r="B201" t="str">
            <v>ООС-0104-000159</v>
          </cell>
          <cell r="C201" t="str">
            <v>Рольставни А-55 ,1.930</v>
          </cell>
          <cell r="D201">
            <v>36515</v>
          </cell>
          <cell r="E201">
            <v>17610.71</v>
          </cell>
          <cell r="F201">
            <v>9853</v>
          </cell>
          <cell r="G201">
            <v>97</v>
          </cell>
          <cell r="H201" t="str">
            <v>0</v>
          </cell>
          <cell r="I201" t="str">
            <v>0</v>
          </cell>
          <cell r="J201">
            <v>97</v>
          </cell>
          <cell r="K201">
            <v>296</v>
          </cell>
          <cell r="L201">
            <v>300</v>
          </cell>
        </row>
        <row r="202">
          <cell r="B202" t="str">
            <v>ООС-0104-000163</v>
          </cell>
          <cell r="C202" t="str">
            <v>Сис. Блок vei8</v>
          </cell>
          <cell r="D202">
            <v>36518</v>
          </cell>
          <cell r="E202">
            <v>2056.9299999999998</v>
          </cell>
          <cell r="F202">
            <v>24009</v>
          </cell>
          <cell r="G202">
            <v>97</v>
          </cell>
          <cell r="H202" t="str">
            <v>0</v>
          </cell>
          <cell r="I202" t="str">
            <v>0</v>
          </cell>
          <cell r="J202">
            <v>97</v>
          </cell>
          <cell r="K202">
            <v>720</v>
          </cell>
          <cell r="L202">
            <v>720</v>
          </cell>
        </row>
        <row r="203">
          <cell r="B203" t="str">
            <v>ООС-0104-000164</v>
          </cell>
          <cell r="C203" t="str">
            <v>Сис. Блок Vei7</v>
          </cell>
          <cell r="D203">
            <v>36518</v>
          </cell>
          <cell r="E203">
            <v>2056.9299999999998</v>
          </cell>
          <cell r="F203">
            <v>16955</v>
          </cell>
          <cell r="G203">
            <v>97</v>
          </cell>
          <cell r="H203" t="str">
            <v>0</v>
          </cell>
          <cell r="I203" t="str">
            <v>0</v>
          </cell>
          <cell r="J203">
            <v>97</v>
          </cell>
          <cell r="K203">
            <v>509</v>
          </cell>
          <cell r="L203">
            <v>510</v>
          </cell>
        </row>
        <row r="204">
          <cell r="B204" t="str">
            <v>ООС-0104-000200</v>
          </cell>
          <cell r="C204" t="str">
            <v>Сис. Блок+монитор HPBas</v>
          </cell>
          <cell r="D204">
            <v>36622</v>
          </cell>
          <cell r="E204">
            <v>4664.2299999999996</v>
          </cell>
          <cell r="F204">
            <v>15097</v>
          </cell>
          <cell r="G204">
            <v>95</v>
          </cell>
          <cell r="H204" t="str">
            <v>0</v>
          </cell>
          <cell r="I204" t="str">
            <v>0</v>
          </cell>
          <cell r="J204">
            <v>95</v>
          </cell>
          <cell r="K204">
            <v>755</v>
          </cell>
          <cell r="L204">
            <v>760</v>
          </cell>
        </row>
        <row r="205">
          <cell r="B205" t="str">
            <v>ООС-0104-000201</v>
          </cell>
          <cell r="C205" t="str">
            <v>Сис. Блок+мон.HPVSG655</v>
          </cell>
          <cell r="D205">
            <v>36622</v>
          </cell>
          <cell r="E205">
            <v>4664.2299999999996</v>
          </cell>
          <cell r="F205">
            <v>15097</v>
          </cell>
          <cell r="G205">
            <v>95</v>
          </cell>
          <cell r="H205" t="str">
            <v>0</v>
          </cell>
          <cell r="I205" t="str">
            <v>0</v>
          </cell>
          <cell r="J205">
            <v>95</v>
          </cell>
          <cell r="K205">
            <v>755</v>
          </cell>
          <cell r="L205">
            <v>760</v>
          </cell>
        </row>
        <row r="206">
          <cell r="B206" t="str">
            <v>ООС-0104-000287</v>
          </cell>
          <cell r="C206" t="str">
            <v>Сис. Блок Vei7</v>
          </cell>
          <cell r="D206">
            <v>36710</v>
          </cell>
          <cell r="E206">
            <v>5108.63</v>
          </cell>
          <cell r="F206">
            <v>16955</v>
          </cell>
          <cell r="G206">
            <v>90</v>
          </cell>
          <cell r="H206" t="str">
            <v>0</v>
          </cell>
          <cell r="I206" t="str">
            <v>0</v>
          </cell>
          <cell r="J206">
            <v>90</v>
          </cell>
          <cell r="K206">
            <v>1696</v>
          </cell>
          <cell r="L206">
            <v>1700</v>
          </cell>
        </row>
        <row r="207">
          <cell r="B207" t="str">
            <v>ООС-0104-000342</v>
          </cell>
          <cell r="C207" t="str">
            <v>Счетчик купюр Lauser700</v>
          </cell>
          <cell r="D207">
            <v>36831</v>
          </cell>
          <cell r="E207">
            <v>6634.76</v>
          </cell>
          <cell r="F207">
            <v>9970</v>
          </cell>
          <cell r="G207">
            <v>83</v>
          </cell>
          <cell r="H207" t="str">
            <v>0</v>
          </cell>
          <cell r="I207" t="str">
            <v>0</v>
          </cell>
          <cell r="J207">
            <v>83</v>
          </cell>
          <cell r="K207">
            <v>1695</v>
          </cell>
          <cell r="L207">
            <v>1700</v>
          </cell>
        </row>
        <row r="208">
          <cell r="B208" t="str">
            <v>ООС-0104-000458</v>
          </cell>
          <cell r="C208" t="str">
            <v>Телеф.Panasonic KT-ST15</v>
          </cell>
          <cell r="D208">
            <v>37165</v>
          </cell>
          <cell r="E208">
            <v>0</v>
          </cell>
          <cell r="F208">
            <v>5096</v>
          </cell>
          <cell r="G208">
            <v>65</v>
          </cell>
          <cell r="H208" t="str">
            <v>0</v>
          </cell>
          <cell r="I208" t="str">
            <v>0</v>
          </cell>
          <cell r="J208">
            <v>65</v>
          </cell>
          <cell r="K208">
            <v>1784</v>
          </cell>
          <cell r="L208">
            <v>1800</v>
          </cell>
        </row>
        <row r="209">
          <cell r="B209" t="str">
            <v>ООС-0104-000549</v>
          </cell>
          <cell r="C209" t="str">
            <v>Принтер HPLJ4100N</v>
          </cell>
          <cell r="D209">
            <v>37316</v>
          </cell>
          <cell r="E209">
            <v>18194.95</v>
          </cell>
          <cell r="F209">
            <v>27043</v>
          </cell>
          <cell r="G209">
            <v>57</v>
          </cell>
          <cell r="H209" t="str">
            <v>0</v>
          </cell>
          <cell r="I209" t="str">
            <v>0</v>
          </cell>
          <cell r="J209">
            <v>57</v>
          </cell>
          <cell r="K209">
            <v>11628</v>
          </cell>
          <cell r="L209">
            <v>12000</v>
          </cell>
        </row>
        <row r="210">
          <cell r="B210" t="str">
            <v>ООС-0104-000741</v>
          </cell>
          <cell r="C210" t="str">
            <v>Принтер HPLJ4050</v>
          </cell>
          <cell r="D210">
            <v>37622</v>
          </cell>
          <cell r="E210">
            <v>10814.57</v>
          </cell>
          <cell r="F210">
            <v>44522</v>
          </cell>
          <cell r="G210">
            <v>40</v>
          </cell>
          <cell r="H210" t="str">
            <v>0</v>
          </cell>
          <cell r="I210" t="str">
            <v>0</v>
          </cell>
          <cell r="J210">
            <v>40</v>
          </cell>
          <cell r="K210">
            <v>26713</v>
          </cell>
          <cell r="L210">
            <v>27000</v>
          </cell>
        </row>
        <row r="211">
          <cell r="B211" t="str">
            <v>ООС-0104-000756</v>
          </cell>
          <cell r="C211" t="str">
            <v>Сис. Блок VI400</v>
          </cell>
          <cell r="D211">
            <v>37622</v>
          </cell>
          <cell r="E211">
            <v>11625.3</v>
          </cell>
          <cell r="F211">
            <v>11076</v>
          </cell>
          <cell r="G211">
            <v>40</v>
          </cell>
          <cell r="H211" t="str">
            <v>0</v>
          </cell>
          <cell r="I211" t="str">
            <v>0</v>
          </cell>
          <cell r="J211">
            <v>40</v>
          </cell>
          <cell r="K211">
            <v>6646</v>
          </cell>
          <cell r="L211">
            <v>6600</v>
          </cell>
        </row>
        <row r="212">
          <cell r="B212" t="str">
            <v>ООС-0104-000845</v>
          </cell>
          <cell r="C212" t="str">
            <v>Сис. Блок VEI7</v>
          </cell>
          <cell r="D212">
            <v>37742</v>
          </cell>
          <cell r="E212">
            <v>9441.7199999999993</v>
          </cell>
          <cell r="F212">
            <v>16955</v>
          </cell>
          <cell r="G212">
            <v>33</v>
          </cell>
          <cell r="H212" t="str">
            <v>0</v>
          </cell>
          <cell r="I212" t="str">
            <v>0</v>
          </cell>
          <cell r="J212">
            <v>33</v>
          </cell>
          <cell r="K212">
            <v>11360</v>
          </cell>
          <cell r="L212">
            <v>11000</v>
          </cell>
        </row>
        <row r="213">
          <cell r="B213" t="str">
            <v>ООС-0104-000847</v>
          </cell>
          <cell r="C213" t="str">
            <v>Сис. Блок VEi7</v>
          </cell>
          <cell r="D213">
            <v>37742</v>
          </cell>
          <cell r="E213">
            <v>7743.32</v>
          </cell>
          <cell r="F213">
            <v>16955</v>
          </cell>
          <cell r="G213">
            <v>33</v>
          </cell>
          <cell r="H213" t="str">
            <v>0</v>
          </cell>
          <cell r="I213" t="str">
            <v>0</v>
          </cell>
          <cell r="J213">
            <v>33</v>
          </cell>
          <cell r="K213">
            <v>11360</v>
          </cell>
          <cell r="L213">
            <v>11000</v>
          </cell>
        </row>
        <row r="214">
          <cell r="B214" t="str">
            <v>ООС-0104-000848</v>
          </cell>
          <cell r="C214" t="str">
            <v>Сис. Блок Vei7</v>
          </cell>
          <cell r="D214">
            <v>37742</v>
          </cell>
          <cell r="E214">
            <v>7743.32</v>
          </cell>
          <cell r="F214">
            <v>16955</v>
          </cell>
          <cell r="G214">
            <v>33</v>
          </cell>
          <cell r="H214" t="str">
            <v>0</v>
          </cell>
          <cell r="I214" t="str">
            <v>0</v>
          </cell>
          <cell r="J214">
            <v>33</v>
          </cell>
          <cell r="K214">
            <v>11360</v>
          </cell>
          <cell r="L214">
            <v>11000</v>
          </cell>
        </row>
        <row r="215">
          <cell r="B215" t="str">
            <v>ООС-0105-000499</v>
          </cell>
          <cell r="C215" t="str">
            <v>Моб. Архив Kasten</v>
          </cell>
          <cell r="D215">
            <v>37377</v>
          </cell>
          <cell r="E215">
            <v>123087.25</v>
          </cell>
          <cell r="F215">
            <v>70313</v>
          </cell>
          <cell r="G215">
            <v>12</v>
          </cell>
          <cell r="H215" t="str">
            <v>0</v>
          </cell>
          <cell r="I215" t="str">
            <v>0</v>
          </cell>
          <cell r="J215">
            <v>12</v>
          </cell>
          <cell r="K215">
            <v>61875</v>
          </cell>
          <cell r="L215">
            <v>62000</v>
          </cell>
        </row>
        <row r="216">
          <cell r="B216" t="str">
            <v>ООС-0104-001042</v>
          </cell>
          <cell r="C216" t="str">
            <v>Сис. Блок HP D230m</v>
          </cell>
          <cell r="D216">
            <v>38244</v>
          </cell>
          <cell r="E216">
            <v>10703.69</v>
          </cell>
          <cell r="F216">
            <v>19377</v>
          </cell>
          <cell r="G216">
            <v>7</v>
          </cell>
          <cell r="H216" t="str">
            <v>0</v>
          </cell>
          <cell r="I216" t="str">
            <v>0</v>
          </cell>
          <cell r="J216">
            <v>7</v>
          </cell>
          <cell r="K216">
            <v>18021</v>
          </cell>
          <cell r="L216">
            <v>18000</v>
          </cell>
        </row>
        <row r="217">
          <cell r="B217" t="str">
            <v>ООС-0104-001045</v>
          </cell>
          <cell r="C217" t="str">
            <v>Сис. Блок HP D230m</v>
          </cell>
          <cell r="D217">
            <v>38244</v>
          </cell>
          <cell r="E217">
            <v>10703.69</v>
          </cell>
          <cell r="F217">
            <v>19377</v>
          </cell>
          <cell r="G217">
            <v>7</v>
          </cell>
          <cell r="H217" t="str">
            <v>0</v>
          </cell>
          <cell r="I217" t="str">
            <v>0</v>
          </cell>
          <cell r="J217">
            <v>7</v>
          </cell>
          <cell r="K217">
            <v>18021</v>
          </cell>
          <cell r="L217">
            <v>18000</v>
          </cell>
        </row>
        <row r="218">
          <cell r="B218" t="str">
            <v>ООС-0104-001047</v>
          </cell>
          <cell r="C218" t="str">
            <v>Сис. Блок HP D230m</v>
          </cell>
          <cell r="D218">
            <v>38244</v>
          </cell>
          <cell r="E218">
            <v>10703.69</v>
          </cell>
          <cell r="F218">
            <v>19377</v>
          </cell>
          <cell r="G218">
            <v>7</v>
          </cell>
          <cell r="H218" t="str">
            <v>0</v>
          </cell>
          <cell r="I218" t="str">
            <v>0</v>
          </cell>
          <cell r="J218">
            <v>7</v>
          </cell>
          <cell r="K218">
            <v>18021</v>
          </cell>
          <cell r="L218">
            <v>18000</v>
          </cell>
        </row>
        <row r="219">
          <cell r="B219" t="str">
            <v>ООС-0104-001050</v>
          </cell>
          <cell r="C219" t="str">
            <v>Сис. Блок HP D230m</v>
          </cell>
          <cell r="D219">
            <v>38244</v>
          </cell>
          <cell r="E219">
            <v>10703.69</v>
          </cell>
          <cell r="F219">
            <v>19377</v>
          </cell>
          <cell r="G219">
            <v>7</v>
          </cell>
          <cell r="H219" t="str">
            <v>0</v>
          </cell>
          <cell r="I219" t="str">
            <v>0</v>
          </cell>
          <cell r="J219">
            <v>7</v>
          </cell>
          <cell r="K219">
            <v>18021</v>
          </cell>
          <cell r="L219">
            <v>18000</v>
          </cell>
        </row>
        <row r="220">
          <cell r="B220" t="str">
            <v>ООС-0104-001052</v>
          </cell>
          <cell r="C220" t="str">
            <v>Сис. Блок HP D230m</v>
          </cell>
          <cell r="D220">
            <v>38244</v>
          </cell>
          <cell r="E220">
            <v>10703.69</v>
          </cell>
          <cell r="F220">
            <v>19377</v>
          </cell>
          <cell r="G220">
            <v>7</v>
          </cell>
          <cell r="H220" t="str">
            <v>0</v>
          </cell>
          <cell r="I220" t="str">
            <v>0</v>
          </cell>
          <cell r="J220">
            <v>7</v>
          </cell>
          <cell r="K220">
            <v>18021</v>
          </cell>
          <cell r="L220">
            <v>18000</v>
          </cell>
        </row>
        <row r="221">
          <cell r="B221" t="str">
            <v>ООС-0104-001054</v>
          </cell>
          <cell r="C221" t="str">
            <v>Сис. Блок HP D230m</v>
          </cell>
          <cell r="D221">
            <v>38244</v>
          </cell>
          <cell r="E221">
            <v>10703.69</v>
          </cell>
          <cell r="F221">
            <v>19377</v>
          </cell>
          <cell r="G221">
            <v>7</v>
          </cell>
          <cell r="H221" t="str">
            <v>0</v>
          </cell>
          <cell r="I221" t="str">
            <v>0</v>
          </cell>
          <cell r="J221">
            <v>7</v>
          </cell>
          <cell r="K221">
            <v>18021</v>
          </cell>
          <cell r="L221">
            <v>18000</v>
          </cell>
        </row>
        <row r="222">
          <cell r="B222" t="str">
            <v>ООС-0104-000449</v>
          </cell>
          <cell r="C222" t="str">
            <v>Телеф.Panasonic KT-ST15</v>
          </cell>
          <cell r="D222">
            <v>37165</v>
          </cell>
          <cell r="E222">
            <v>0</v>
          </cell>
          <cell r="F222">
            <v>5096</v>
          </cell>
          <cell r="G222">
            <v>65</v>
          </cell>
          <cell r="H222" t="str">
            <v>0</v>
          </cell>
          <cell r="I222" t="str">
            <v>0</v>
          </cell>
          <cell r="J222">
            <v>65</v>
          </cell>
          <cell r="K222">
            <v>1784</v>
          </cell>
          <cell r="L222">
            <v>1800</v>
          </cell>
        </row>
        <row r="223">
          <cell r="B223" t="str">
            <v>ООС-0105-000418</v>
          </cell>
          <cell r="C223" t="str">
            <v>Шкаф  А722К00</v>
          </cell>
          <cell r="D223">
            <v>36965</v>
          </cell>
          <cell r="E223">
            <v>0</v>
          </cell>
          <cell r="F223">
            <v>10305</v>
          </cell>
          <cell r="G223">
            <v>55</v>
          </cell>
          <cell r="H223" t="str">
            <v>0</v>
          </cell>
          <cell r="I223" t="str">
            <v>0</v>
          </cell>
          <cell r="J223">
            <v>55</v>
          </cell>
          <cell r="K223">
            <v>4637</v>
          </cell>
          <cell r="L223">
            <v>4600</v>
          </cell>
        </row>
        <row r="224">
          <cell r="B224" t="str">
            <v>ООС-0105-000419</v>
          </cell>
          <cell r="C224" t="str">
            <v>Шкаф  А722К00</v>
          </cell>
          <cell r="D224">
            <v>36965</v>
          </cell>
          <cell r="E224">
            <v>0</v>
          </cell>
          <cell r="F224">
            <v>10305</v>
          </cell>
          <cell r="G224">
            <v>55</v>
          </cell>
          <cell r="H224" t="str">
            <v>0</v>
          </cell>
          <cell r="I224" t="str">
            <v>0</v>
          </cell>
          <cell r="J224">
            <v>55</v>
          </cell>
          <cell r="K224">
            <v>4637</v>
          </cell>
          <cell r="L224">
            <v>4600</v>
          </cell>
        </row>
        <row r="225">
          <cell r="B225" t="str">
            <v>ООС-0105-000420</v>
          </cell>
          <cell r="C225" t="str">
            <v>Шкаф  А722К00</v>
          </cell>
          <cell r="D225">
            <v>36965</v>
          </cell>
          <cell r="E225">
            <v>0</v>
          </cell>
          <cell r="F225">
            <v>10305</v>
          </cell>
          <cell r="G225">
            <v>55</v>
          </cell>
          <cell r="H225" t="str">
            <v>0</v>
          </cell>
          <cell r="I225" t="str">
            <v>0</v>
          </cell>
          <cell r="J225">
            <v>55</v>
          </cell>
          <cell r="K225">
            <v>4637</v>
          </cell>
          <cell r="L225">
            <v>4600</v>
          </cell>
        </row>
        <row r="226">
          <cell r="B226" t="str">
            <v>ООС-0105-000422</v>
          </cell>
          <cell r="C226" t="str">
            <v>Сейф BS-T530</v>
          </cell>
          <cell r="D226">
            <v>36972</v>
          </cell>
          <cell r="E226">
            <v>0</v>
          </cell>
          <cell r="F226">
            <v>8008</v>
          </cell>
          <cell r="G226">
            <v>17</v>
          </cell>
          <cell r="H226" t="str">
            <v>0</v>
          </cell>
          <cell r="I226" t="str">
            <v>0</v>
          </cell>
          <cell r="J226">
            <v>17</v>
          </cell>
          <cell r="K226">
            <v>6647</v>
          </cell>
          <cell r="L226">
            <v>6600</v>
          </cell>
        </row>
        <row r="227">
          <cell r="B227" t="str">
            <v>ООС-0104-000286</v>
          </cell>
          <cell r="C227" t="str">
            <v>Сис. Блок VEi7</v>
          </cell>
          <cell r="D227">
            <v>36719</v>
          </cell>
          <cell r="E227">
            <v>4709.32</v>
          </cell>
          <cell r="F227">
            <v>16955</v>
          </cell>
          <cell r="G227">
            <v>90</v>
          </cell>
          <cell r="H227" t="str">
            <v>0</v>
          </cell>
          <cell r="I227" t="str">
            <v>0</v>
          </cell>
          <cell r="J227">
            <v>90</v>
          </cell>
          <cell r="K227">
            <v>1696</v>
          </cell>
          <cell r="L227">
            <v>1700</v>
          </cell>
        </row>
        <row r="228">
          <cell r="B228" t="str">
            <v>ООС-0104-000297</v>
          </cell>
          <cell r="C228" t="str">
            <v>Принтер HP 4050N</v>
          </cell>
          <cell r="D228">
            <v>36708</v>
          </cell>
          <cell r="E228">
            <v>18199.98</v>
          </cell>
          <cell r="F228">
            <v>44522</v>
          </cell>
          <cell r="G228">
            <v>90</v>
          </cell>
          <cell r="H228" t="str">
            <v>0</v>
          </cell>
          <cell r="I228" t="str">
            <v>0</v>
          </cell>
          <cell r="J228">
            <v>90</v>
          </cell>
          <cell r="K228">
            <v>4452</v>
          </cell>
          <cell r="L228">
            <v>4500</v>
          </cell>
        </row>
        <row r="229">
          <cell r="B229" t="str">
            <v>ООС-0104-000304</v>
          </cell>
          <cell r="C229" t="str">
            <v>Принтер HP 4050N</v>
          </cell>
          <cell r="D229">
            <v>36762</v>
          </cell>
          <cell r="E229">
            <v>18006.05</v>
          </cell>
          <cell r="F229">
            <v>44522</v>
          </cell>
          <cell r="G229">
            <v>87</v>
          </cell>
          <cell r="H229" t="str">
            <v>0</v>
          </cell>
          <cell r="I229" t="str">
            <v>0</v>
          </cell>
          <cell r="J229">
            <v>87</v>
          </cell>
          <cell r="K229">
            <v>5788</v>
          </cell>
          <cell r="L229">
            <v>5800</v>
          </cell>
        </row>
        <row r="230">
          <cell r="B230" t="str">
            <v>ООС-0104-000305</v>
          </cell>
          <cell r="C230" t="str">
            <v>Сис. Блок VEi7</v>
          </cell>
          <cell r="D230">
            <v>36762</v>
          </cell>
          <cell r="E230">
            <v>4479.51</v>
          </cell>
          <cell r="F230">
            <v>16955</v>
          </cell>
          <cell r="G230">
            <v>87</v>
          </cell>
          <cell r="H230" t="str">
            <v>0</v>
          </cell>
          <cell r="I230" t="str">
            <v>0</v>
          </cell>
          <cell r="J230">
            <v>87</v>
          </cell>
          <cell r="K230">
            <v>2204</v>
          </cell>
          <cell r="L230">
            <v>2200</v>
          </cell>
        </row>
        <row r="231">
          <cell r="B231" t="str">
            <v>ООС-0104-000324</v>
          </cell>
          <cell r="C231" t="str">
            <v>Холодильник Bosch3501</v>
          </cell>
          <cell r="D231">
            <v>36816</v>
          </cell>
          <cell r="E231">
            <v>13028.39</v>
          </cell>
          <cell r="F231">
            <v>23398</v>
          </cell>
          <cell r="G231">
            <v>61</v>
          </cell>
          <cell r="H231" t="str">
            <v>0</v>
          </cell>
          <cell r="I231" t="str">
            <v>0</v>
          </cell>
          <cell r="J231">
            <v>61</v>
          </cell>
          <cell r="K231">
            <v>9125</v>
          </cell>
          <cell r="L231">
            <v>9100</v>
          </cell>
        </row>
        <row r="232">
          <cell r="B232" t="str">
            <v>ООС-0104-000408</v>
          </cell>
          <cell r="C232" t="str">
            <v>Тележка SC9</v>
          </cell>
          <cell r="D232">
            <v>36923</v>
          </cell>
          <cell r="E232">
            <v>0</v>
          </cell>
          <cell r="F232">
            <v>11800</v>
          </cell>
          <cell r="G232">
            <v>78</v>
          </cell>
          <cell r="H232" t="str">
            <v>0</v>
          </cell>
          <cell r="I232" t="str">
            <v>0</v>
          </cell>
          <cell r="J232">
            <v>78</v>
          </cell>
          <cell r="K232">
            <v>2596</v>
          </cell>
          <cell r="L232">
            <v>2600</v>
          </cell>
        </row>
        <row r="233">
          <cell r="B233" t="str">
            <v>ООС-0104-000421</v>
          </cell>
          <cell r="C233" t="str">
            <v>Стремянка 8-ти ступ.</v>
          </cell>
          <cell r="D233">
            <v>36951</v>
          </cell>
          <cell r="E233">
            <v>0</v>
          </cell>
          <cell r="F233">
            <v>3269</v>
          </cell>
          <cell r="G233">
            <v>77</v>
          </cell>
          <cell r="H233" t="str">
            <v>0</v>
          </cell>
          <cell r="I233" t="str">
            <v>0</v>
          </cell>
          <cell r="J233">
            <v>77</v>
          </cell>
          <cell r="K233">
            <v>752</v>
          </cell>
          <cell r="L233">
            <v>750</v>
          </cell>
        </row>
        <row r="234">
          <cell r="B234" t="str">
            <v>ООС-0104-000116</v>
          </cell>
          <cell r="C234" t="str">
            <v>Снегоочиститель CCR3000</v>
          </cell>
          <cell r="D234">
            <v>36464</v>
          </cell>
          <cell r="E234">
            <v>14274.82</v>
          </cell>
          <cell r="F234">
            <v>27542</v>
          </cell>
          <cell r="G234">
            <v>52</v>
          </cell>
          <cell r="H234" t="str">
            <v>0</v>
          </cell>
          <cell r="I234" t="str">
            <v>0</v>
          </cell>
          <cell r="J234">
            <v>52</v>
          </cell>
          <cell r="K234">
            <v>13220</v>
          </cell>
          <cell r="L234">
            <v>13000</v>
          </cell>
        </row>
        <row r="235">
          <cell r="B235" t="str">
            <v>ООС-0104-000157</v>
          </cell>
          <cell r="C235" t="str">
            <v>БатарейкаB UPS9000</v>
          </cell>
          <cell r="D235">
            <v>36495</v>
          </cell>
          <cell r="E235">
            <v>24698.9</v>
          </cell>
          <cell r="F235">
            <v>5879</v>
          </cell>
          <cell r="G235">
            <v>97</v>
          </cell>
          <cell r="H235" t="str">
            <v>0</v>
          </cell>
          <cell r="I235" t="str">
            <v>0</v>
          </cell>
          <cell r="J235">
            <v>97</v>
          </cell>
          <cell r="K235">
            <v>176</v>
          </cell>
          <cell r="L235">
            <v>180</v>
          </cell>
        </row>
        <row r="236">
          <cell r="B236" t="str">
            <v>ООС-0104-000331</v>
          </cell>
          <cell r="C236" t="str">
            <v>Электрокалорифер КЭ</v>
          </cell>
          <cell r="D236">
            <v>36846</v>
          </cell>
          <cell r="E236">
            <v>127615.9</v>
          </cell>
          <cell r="F236">
            <v>57734</v>
          </cell>
          <cell r="G236">
            <v>60</v>
          </cell>
          <cell r="H236" t="str">
            <v>0</v>
          </cell>
          <cell r="I236" t="str">
            <v>0</v>
          </cell>
          <cell r="J236">
            <v>60</v>
          </cell>
          <cell r="K236">
            <v>23094</v>
          </cell>
          <cell r="L236">
            <v>23000</v>
          </cell>
        </row>
        <row r="237">
          <cell r="B237" t="str">
            <v>ООС-0104-000614</v>
          </cell>
          <cell r="C237" t="str">
            <v>Частотный преобразов.</v>
          </cell>
          <cell r="D237">
            <v>37500</v>
          </cell>
          <cell r="E237">
            <v>28731.74</v>
          </cell>
          <cell r="F237">
            <v>37845</v>
          </cell>
          <cell r="G237">
            <v>33</v>
          </cell>
          <cell r="H237" t="str">
            <v>0</v>
          </cell>
          <cell r="I237" t="str">
            <v>0</v>
          </cell>
          <cell r="J237">
            <v>33</v>
          </cell>
          <cell r="K237">
            <v>25356</v>
          </cell>
          <cell r="L237">
            <v>25000</v>
          </cell>
        </row>
        <row r="238">
          <cell r="B238" t="str">
            <v>ООС-0104-000765</v>
          </cell>
          <cell r="C238" t="str">
            <v xml:space="preserve">Холодильная установка </v>
          </cell>
          <cell r="D238">
            <v>37653</v>
          </cell>
          <cell r="E238">
            <v>149675.1</v>
          </cell>
          <cell r="F238">
            <v>106780</v>
          </cell>
          <cell r="G238">
            <v>27</v>
          </cell>
          <cell r="H238" t="str">
            <v>0</v>
          </cell>
          <cell r="I238" t="str">
            <v>0</v>
          </cell>
          <cell r="J238">
            <v>27</v>
          </cell>
          <cell r="K238">
            <v>77949</v>
          </cell>
          <cell r="L238">
            <v>78000</v>
          </cell>
        </row>
        <row r="239">
          <cell r="B239" t="str">
            <v>ООС-0104-000179</v>
          </cell>
          <cell r="C239" t="str">
            <v>Командный пульт</v>
          </cell>
          <cell r="D239">
            <v>36605</v>
          </cell>
          <cell r="E239">
            <v>57329.04</v>
          </cell>
          <cell r="F239">
            <v>57614</v>
          </cell>
          <cell r="G239">
            <v>68</v>
          </cell>
          <cell r="H239" t="str">
            <v>0</v>
          </cell>
          <cell r="I239" t="str">
            <v>0</v>
          </cell>
          <cell r="J239">
            <v>68</v>
          </cell>
          <cell r="K239">
            <v>18436</v>
          </cell>
          <cell r="L239">
            <v>18000</v>
          </cell>
        </row>
        <row r="240">
          <cell r="B240" t="str">
            <v>ООС-0104-000220</v>
          </cell>
          <cell r="C240" t="str">
            <v>Радиостанция GP320</v>
          </cell>
          <cell r="D240">
            <v>36672</v>
          </cell>
          <cell r="E240">
            <v>6071.5</v>
          </cell>
          <cell r="F240">
            <v>7431</v>
          </cell>
          <cell r="G240">
            <v>92</v>
          </cell>
          <cell r="H240" t="str">
            <v>0</v>
          </cell>
          <cell r="I240" t="str">
            <v>0</v>
          </cell>
          <cell r="J240">
            <v>92</v>
          </cell>
          <cell r="K240">
            <v>594</v>
          </cell>
          <cell r="L240">
            <v>590</v>
          </cell>
        </row>
        <row r="241">
          <cell r="B241" t="str">
            <v>ООС-0104-000221</v>
          </cell>
          <cell r="C241" t="str">
            <v>Радиостанция GP320</v>
          </cell>
          <cell r="D241">
            <v>36672</v>
          </cell>
          <cell r="E241">
            <v>6071.5</v>
          </cell>
          <cell r="F241">
            <v>7431</v>
          </cell>
          <cell r="G241">
            <v>92</v>
          </cell>
          <cell r="H241" t="str">
            <v>0</v>
          </cell>
          <cell r="I241" t="str">
            <v>0</v>
          </cell>
          <cell r="J241">
            <v>92</v>
          </cell>
          <cell r="K241">
            <v>594</v>
          </cell>
          <cell r="L241">
            <v>590</v>
          </cell>
        </row>
        <row r="242">
          <cell r="B242" t="str">
            <v>ООС-0104-000768</v>
          </cell>
          <cell r="C242" t="str">
            <v>Тепловая завеса</v>
          </cell>
          <cell r="D242">
            <v>37653</v>
          </cell>
          <cell r="E242">
            <v>23486.48</v>
          </cell>
          <cell r="F242">
            <v>25397</v>
          </cell>
          <cell r="G242">
            <v>27</v>
          </cell>
          <cell r="H242" t="str">
            <v>0</v>
          </cell>
          <cell r="I242" t="str">
            <v>0</v>
          </cell>
          <cell r="J242">
            <v>27</v>
          </cell>
          <cell r="K242">
            <v>18540</v>
          </cell>
          <cell r="L242">
            <v>19000</v>
          </cell>
        </row>
        <row r="243">
          <cell r="B243" t="str">
            <v>ООС-0104-000791</v>
          </cell>
          <cell r="C243" t="str">
            <v>Сис. Блок+монит. VL400</v>
          </cell>
          <cell r="D243">
            <v>37741</v>
          </cell>
          <cell r="E243">
            <v>19762.46</v>
          </cell>
          <cell r="F243">
            <v>17190</v>
          </cell>
          <cell r="G243">
            <v>33</v>
          </cell>
          <cell r="H243" t="str">
            <v>0</v>
          </cell>
          <cell r="I243" t="str">
            <v>0</v>
          </cell>
          <cell r="J243">
            <v>33</v>
          </cell>
          <cell r="K243">
            <v>11517</v>
          </cell>
          <cell r="L243">
            <v>12000</v>
          </cell>
        </row>
        <row r="244">
          <cell r="B244" t="str">
            <v>ООС-0106-000453</v>
          </cell>
          <cell r="C244" t="str">
            <v>Автомобиль ВАЗ-21043</v>
          </cell>
          <cell r="D244">
            <v>37561</v>
          </cell>
          <cell r="E244">
            <v>55170.44</v>
          </cell>
          <cell r="F244">
            <v>95763</v>
          </cell>
          <cell r="G244">
            <v>97</v>
          </cell>
          <cell r="H244" t="str">
            <v>0</v>
          </cell>
          <cell r="I244" t="str">
            <v>0</v>
          </cell>
          <cell r="J244">
            <v>97</v>
          </cell>
          <cell r="K244">
            <v>2873</v>
          </cell>
          <cell r="L244">
            <v>2900</v>
          </cell>
        </row>
        <row r="245">
          <cell r="B245" t="str">
            <v>ООС-0105-000046</v>
          </cell>
          <cell r="C245" t="str">
            <v xml:space="preserve">Шкаф 2-х дверный </v>
          </cell>
          <cell r="D245">
            <v>36146</v>
          </cell>
          <cell r="E245">
            <v>0</v>
          </cell>
          <cell r="F245">
            <v>3814</v>
          </cell>
          <cell r="G245">
            <v>87</v>
          </cell>
          <cell r="H245" t="str">
            <v>0</v>
          </cell>
          <cell r="I245" t="str">
            <v>0</v>
          </cell>
          <cell r="J245">
            <v>87</v>
          </cell>
          <cell r="K245">
            <v>496</v>
          </cell>
          <cell r="L245">
            <v>500</v>
          </cell>
        </row>
        <row r="246">
          <cell r="B246" t="str">
            <v>ООС-0105-000047</v>
          </cell>
          <cell r="C246" t="str">
            <v xml:space="preserve">Шкаф 2-х дверный </v>
          </cell>
          <cell r="D246">
            <v>36146</v>
          </cell>
          <cell r="E246">
            <v>0</v>
          </cell>
          <cell r="F246">
            <v>3814</v>
          </cell>
          <cell r="G246">
            <v>87</v>
          </cell>
          <cell r="H246" t="str">
            <v>0</v>
          </cell>
          <cell r="I246" t="str">
            <v>0</v>
          </cell>
          <cell r="J246">
            <v>87</v>
          </cell>
          <cell r="K246">
            <v>496</v>
          </cell>
          <cell r="L246">
            <v>500</v>
          </cell>
        </row>
        <row r="247">
          <cell r="B247" t="str">
            <v>ООС-0105-000048</v>
          </cell>
          <cell r="C247" t="str">
            <v xml:space="preserve">Шкаф 2-х дверный </v>
          </cell>
          <cell r="D247">
            <v>36146</v>
          </cell>
          <cell r="E247">
            <v>0</v>
          </cell>
          <cell r="F247">
            <v>3814</v>
          </cell>
          <cell r="G247">
            <v>87</v>
          </cell>
          <cell r="H247" t="str">
            <v>0</v>
          </cell>
          <cell r="I247" t="str">
            <v>0</v>
          </cell>
          <cell r="J247">
            <v>87</v>
          </cell>
          <cell r="K247">
            <v>496</v>
          </cell>
          <cell r="L247">
            <v>500</v>
          </cell>
        </row>
        <row r="248">
          <cell r="B248" t="str">
            <v>ООС-0105-000049</v>
          </cell>
          <cell r="C248" t="str">
            <v xml:space="preserve">Шкаф 2-х дверный </v>
          </cell>
          <cell r="D248">
            <v>36146</v>
          </cell>
          <cell r="E248">
            <v>0</v>
          </cell>
          <cell r="F248">
            <v>3814</v>
          </cell>
          <cell r="G248">
            <v>87</v>
          </cell>
          <cell r="H248" t="str">
            <v>0</v>
          </cell>
          <cell r="I248" t="str">
            <v>0</v>
          </cell>
          <cell r="J248">
            <v>87</v>
          </cell>
          <cell r="K248">
            <v>496</v>
          </cell>
          <cell r="L248">
            <v>500</v>
          </cell>
        </row>
        <row r="249">
          <cell r="B249" t="str">
            <v>ООС-0105-000050</v>
          </cell>
          <cell r="C249" t="str">
            <v xml:space="preserve">Шкаф 2-х дверный </v>
          </cell>
          <cell r="D249">
            <v>36146</v>
          </cell>
          <cell r="E249">
            <v>0</v>
          </cell>
          <cell r="F249">
            <v>3814</v>
          </cell>
          <cell r="G249">
            <v>87</v>
          </cell>
          <cell r="H249" t="str">
            <v>0</v>
          </cell>
          <cell r="I249" t="str">
            <v>0</v>
          </cell>
          <cell r="J249">
            <v>87</v>
          </cell>
          <cell r="K249">
            <v>496</v>
          </cell>
          <cell r="L249">
            <v>500</v>
          </cell>
        </row>
        <row r="250">
          <cell r="B250" t="str">
            <v>ООС-0105-000051</v>
          </cell>
          <cell r="C250" t="str">
            <v xml:space="preserve">Шкаф 2-х дверный </v>
          </cell>
          <cell r="D250">
            <v>36146</v>
          </cell>
          <cell r="E250">
            <v>0</v>
          </cell>
          <cell r="F250">
            <v>3814</v>
          </cell>
          <cell r="G250">
            <v>87</v>
          </cell>
          <cell r="H250" t="str">
            <v>0</v>
          </cell>
          <cell r="I250" t="str">
            <v>0</v>
          </cell>
          <cell r="J250">
            <v>87</v>
          </cell>
          <cell r="K250">
            <v>496</v>
          </cell>
          <cell r="L250">
            <v>500</v>
          </cell>
        </row>
        <row r="251">
          <cell r="B251" t="str">
            <v>ООС-0105-000052</v>
          </cell>
          <cell r="C251" t="str">
            <v xml:space="preserve">Шкаф 2-х дверный </v>
          </cell>
          <cell r="D251">
            <v>36146</v>
          </cell>
          <cell r="E251">
            <v>0</v>
          </cell>
          <cell r="F251">
            <v>3814</v>
          </cell>
          <cell r="G251">
            <v>87</v>
          </cell>
          <cell r="H251" t="str">
            <v>0</v>
          </cell>
          <cell r="I251" t="str">
            <v>0</v>
          </cell>
          <cell r="J251">
            <v>87</v>
          </cell>
          <cell r="K251">
            <v>496</v>
          </cell>
          <cell r="L251">
            <v>500</v>
          </cell>
        </row>
        <row r="252">
          <cell r="B252" t="str">
            <v>ООС-0105-000053</v>
          </cell>
          <cell r="C252" t="str">
            <v xml:space="preserve">Шкаф 2-х дверный </v>
          </cell>
          <cell r="D252">
            <v>36146</v>
          </cell>
          <cell r="E252">
            <v>0</v>
          </cell>
          <cell r="F252">
            <v>3814</v>
          </cell>
          <cell r="G252">
            <v>87</v>
          </cell>
          <cell r="H252" t="str">
            <v>0</v>
          </cell>
          <cell r="I252" t="str">
            <v>0</v>
          </cell>
          <cell r="J252">
            <v>87</v>
          </cell>
          <cell r="K252">
            <v>496</v>
          </cell>
          <cell r="L252">
            <v>500</v>
          </cell>
        </row>
        <row r="253">
          <cell r="B253" t="str">
            <v>ООС-0105-000054</v>
          </cell>
          <cell r="C253" t="str">
            <v xml:space="preserve">Шкаф 2-х дверный </v>
          </cell>
          <cell r="D253">
            <v>36146</v>
          </cell>
          <cell r="E253">
            <v>0</v>
          </cell>
          <cell r="F253">
            <v>3814</v>
          </cell>
          <cell r="G253">
            <v>87</v>
          </cell>
          <cell r="H253" t="str">
            <v>0</v>
          </cell>
          <cell r="I253" t="str">
            <v>0</v>
          </cell>
          <cell r="J253">
            <v>87</v>
          </cell>
          <cell r="K253">
            <v>496</v>
          </cell>
          <cell r="L253">
            <v>500</v>
          </cell>
        </row>
        <row r="254">
          <cell r="B254" t="str">
            <v>ООС-0105-000055</v>
          </cell>
          <cell r="C254" t="str">
            <v xml:space="preserve">Шкаф 2-х дверный </v>
          </cell>
          <cell r="D254">
            <v>36146</v>
          </cell>
          <cell r="E254">
            <v>0</v>
          </cell>
          <cell r="F254">
            <v>3814</v>
          </cell>
          <cell r="G254">
            <v>87</v>
          </cell>
          <cell r="H254" t="str">
            <v>0</v>
          </cell>
          <cell r="I254" t="str">
            <v>0</v>
          </cell>
          <cell r="J254">
            <v>87</v>
          </cell>
          <cell r="K254">
            <v>496</v>
          </cell>
          <cell r="L254">
            <v>500</v>
          </cell>
        </row>
        <row r="255">
          <cell r="B255" t="str">
            <v>ООС-0105-000056</v>
          </cell>
          <cell r="C255" t="str">
            <v xml:space="preserve">Шкаф 2-х дверный </v>
          </cell>
          <cell r="D255">
            <v>36146</v>
          </cell>
          <cell r="E255">
            <v>0</v>
          </cell>
          <cell r="F255">
            <v>3814</v>
          </cell>
          <cell r="G255">
            <v>87</v>
          </cell>
          <cell r="H255" t="str">
            <v>0</v>
          </cell>
          <cell r="I255" t="str">
            <v>0</v>
          </cell>
          <cell r="J255">
            <v>87</v>
          </cell>
          <cell r="K255">
            <v>496</v>
          </cell>
          <cell r="L255">
            <v>500</v>
          </cell>
        </row>
        <row r="256">
          <cell r="B256" t="str">
            <v>ООС-0105-000057</v>
          </cell>
          <cell r="C256" t="str">
            <v xml:space="preserve">Шкаф 2-х дверный </v>
          </cell>
          <cell r="D256">
            <v>36146</v>
          </cell>
          <cell r="E256">
            <v>0</v>
          </cell>
          <cell r="F256">
            <v>3814</v>
          </cell>
          <cell r="G256">
            <v>87</v>
          </cell>
          <cell r="H256" t="str">
            <v>0</v>
          </cell>
          <cell r="I256" t="str">
            <v>0</v>
          </cell>
          <cell r="J256">
            <v>87</v>
          </cell>
          <cell r="K256">
            <v>496</v>
          </cell>
          <cell r="L256">
            <v>500</v>
          </cell>
        </row>
        <row r="257">
          <cell r="B257" t="str">
            <v>ООС-0105-000058</v>
          </cell>
          <cell r="C257" t="str">
            <v xml:space="preserve">Шкаф 2-х дверный </v>
          </cell>
          <cell r="D257">
            <v>36146</v>
          </cell>
          <cell r="E257">
            <v>0</v>
          </cell>
          <cell r="F257">
            <v>3814</v>
          </cell>
          <cell r="G257">
            <v>87</v>
          </cell>
          <cell r="H257" t="str">
            <v>0</v>
          </cell>
          <cell r="I257" t="str">
            <v>0</v>
          </cell>
          <cell r="J257">
            <v>87</v>
          </cell>
          <cell r="K257">
            <v>496</v>
          </cell>
          <cell r="L257">
            <v>500</v>
          </cell>
        </row>
        <row r="258">
          <cell r="B258" t="str">
            <v>ООС-0105-000059</v>
          </cell>
          <cell r="C258" t="str">
            <v xml:space="preserve">Шкаф 2-х дверный </v>
          </cell>
          <cell r="D258">
            <v>36146</v>
          </cell>
          <cell r="E258">
            <v>0</v>
          </cell>
          <cell r="F258">
            <v>3814</v>
          </cell>
          <cell r="G258">
            <v>87</v>
          </cell>
          <cell r="H258" t="str">
            <v>0</v>
          </cell>
          <cell r="I258" t="str">
            <v>0</v>
          </cell>
          <cell r="J258">
            <v>87</v>
          </cell>
          <cell r="K258">
            <v>496</v>
          </cell>
          <cell r="L258">
            <v>500</v>
          </cell>
        </row>
        <row r="259">
          <cell r="B259" t="str">
            <v>ООС-0105-000060</v>
          </cell>
          <cell r="C259" t="str">
            <v xml:space="preserve">Шкаф 2-х дверный </v>
          </cell>
          <cell r="D259">
            <v>36146</v>
          </cell>
          <cell r="E259">
            <v>0</v>
          </cell>
          <cell r="F259">
            <v>3814</v>
          </cell>
          <cell r="G259">
            <v>87</v>
          </cell>
          <cell r="H259" t="str">
            <v>0</v>
          </cell>
          <cell r="I259" t="str">
            <v>0</v>
          </cell>
          <cell r="J259">
            <v>87</v>
          </cell>
          <cell r="K259">
            <v>496</v>
          </cell>
          <cell r="L259">
            <v>500</v>
          </cell>
        </row>
        <row r="260">
          <cell r="B260" t="str">
            <v>ООС-0105-000061</v>
          </cell>
          <cell r="C260" t="str">
            <v xml:space="preserve">Шкаф 2-х дверный </v>
          </cell>
          <cell r="D260">
            <v>36146</v>
          </cell>
          <cell r="E260">
            <v>0</v>
          </cell>
          <cell r="F260">
            <v>3814</v>
          </cell>
          <cell r="G260">
            <v>87</v>
          </cell>
          <cell r="H260" t="str">
            <v>0</v>
          </cell>
          <cell r="I260" t="str">
            <v>0</v>
          </cell>
          <cell r="J260">
            <v>87</v>
          </cell>
          <cell r="K260">
            <v>496</v>
          </cell>
          <cell r="L260">
            <v>500</v>
          </cell>
        </row>
        <row r="261">
          <cell r="B261" t="str">
            <v>ООС-0105-000062</v>
          </cell>
          <cell r="C261" t="str">
            <v xml:space="preserve">Шкаф 2-х дверный </v>
          </cell>
          <cell r="D261">
            <v>36146</v>
          </cell>
          <cell r="E261">
            <v>0</v>
          </cell>
          <cell r="F261">
            <v>3814</v>
          </cell>
          <cell r="G261">
            <v>87</v>
          </cell>
          <cell r="H261" t="str">
            <v>0</v>
          </cell>
          <cell r="I261" t="str">
            <v>0</v>
          </cell>
          <cell r="J261">
            <v>87</v>
          </cell>
          <cell r="K261">
            <v>496</v>
          </cell>
          <cell r="L261">
            <v>500</v>
          </cell>
        </row>
        <row r="262">
          <cell r="B262" t="str">
            <v>ООС-0105-000063</v>
          </cell>
          <cell r="C262" t="str">
            <v xml:space="preserve">Шкаф 2-х дверный </v>
          </cell>
          <cell r="D262">
            <v>36146</v>
          </cell>
          <cell r="E262">
            <v>0</v>
          </cell>
          <cell r="F262">
            <v>3814</v>
          </cell>
          <cell r="G262">
            <v>87</v>
          </cell>
          <cell r="H262" t="str">
            <v>0</v>
          </cell>
          <cell r="I262" t="str">
            <v>0</v>
          </cell>
          <cell r="J262">
            <v>87</v>
          </cell>
          <cell r="K262">
            <v>496</v>
          </cell>
          <cell r="L262">
            <v>500</v>
          </cell>
        </row>
        <row r="263">
          <cell r="B263" t="str">
            <v>ООС-0105-000064</v>
          </cell>
          <cell r="C263" t="str">
            <v xml:space="preserve">Шкаф 2-х дверный </v>
          </cell>
          <cell r="D263">
            <v>36146</v>
          </cell>
          <cell r="E263">
            <v>0</v>
          </cell>
          <cell r="F263">
            <v>3814</v>
          </cell>
          <cell r="G263">
            <v>87</v>
          </cell>
          <cell r="H263" t="str">
            <v>0</v>
          </cell>
          <cell r="I263" t="str">
            <v>0</v>
          </cell>
          <cell r="J263">
            <v>87</v>
          </cell>
          <cell r="K263">
            <v>496</v>
          </cell>
          <cell r="L263">
            <v>500</v>
          </cell>
        </row>
        <row r="264">
          <cell r="B264" t="str">
            <v>ООС-0104-001063</v>
          </cell>
          <cell r="C264" t="str">
            <v>Сис. Блок 2.8/512Mb</v>
          </cell>
          <cell r="D264">
            <v>38257</v>
          </cell>
          <cell r="E264">
            <v>17171.95</v>
          </cell>
          <cell r="F264">
            <v>16955</v>
          </cell>
          <cell r="G264">
            <v>5</v>
          </cell>
          <cell r="H264" t="str">
            <v>0</v>
          </cell>
          <cell r="I264" t="str">
            <v>0</v>
          </cell>
          <cell r="J264">
            <v>5</v>
          </cell>
          <cell r="K264">
            <v>16107</v>
          </cell>
          <cell r="L264">
            <v>16000</v>
          </cell>
        </row>
        <row r="265">
          <cell r="B265" t="str">
            <v>ООС-0104-001064</v>
          </cell>
          <cell r="C265" t="str">
            <v>Монитор VS+VX900</v>
          </cell>
          <cell r="D265">
            <v>38257</v>
          </cell>
          <cell r="E265">
            <v>17067.41</v>
          </cell>
          <cell r="F265">
            <v>16353</v>
          </cell>
          <cell r="G265">
            <v>5</v>
          </cell>
          <cell r="H265" t="str">
            <v>0</v>
          </cell>
          <cell r="I265" t="str">
            <v>0</v>
          </cell>
          <cell r="J265">
            <v>5</v>
          </cell>
          <cell r="K265">
            <v>15535</v>
          </cell>
          <cell r="L265">
            <v>16000</v>
          </cell>
        </row>
        <row r="266">
          <cell r="B266" t="str">
            <v>ООС-0104-001065</v>
          </cell>
          <cell r="C266" t="str">
            <v>Сис. Блок 2.8/512Mb</v>
          </cell>
          <cell r="D266">
            <v>38257</v>
          </cell>
          <cell r="E266">
            <v>17171.95</v>
          </cell>
          <cell r="F266">
            <v>16955</v>
          </cell>
          <cell r="G266">
            <v>5</v>
          </cell>
          <cell r="H266" t="str">
            <v>0</v>
          </cell>
          <cell r="I266" t="str">
            <v>0</v>
          </cell>
          <cell r="J266">
            <v>5</v>
          </cell>
          <cell r="K266">
            <v>16107</v>
          </cell>
          <cell r="L266">
            <v>16000</v>
          </cell>
        </row>
        <row r="267">
          <cell r="B267" t="str">
            <v>ООС-0104-001066</v>
          </cell>
          <cell r="C267" t="str">
            <v>Монитор VS+VX900</v>
          </cell>
          <cell r="D267">
            <v>38257</v>
          </cell>
          <cell r="E267">
            <v>17067.41</v>
          </cell>
          <cell r="F267">
            <v>16353</v>
          </cell>
          <cell r="G267">
            <v>5</v>
          </cell>
          <cell r="H267" t="str">
            <v>0</v>
          </cell>
          <cell r="I267" t="str">
            <v>0</v>
          </cell>
          <cell r="J267">
            <v>5</v>
          </cell>
          <cell r="K267">
            <v>15535</v>
          </cell>
          <cell r="L267">
            <v>16000</v>
          </cell>
        </row>
        <row r="268">
          <cell r="B268" t="str">
            <v>ООС-0104-001067</v>
          </cell>
          <cell r="C268" t="str">
            <v>Сис. Блок 2.8/512Mb</v>
          </cell>
          <cell r="D268">
            <v>38257</v>
          </cell>
          <cell r="E268">
            <v>17171.95</v>
          </cell>
          <cell r="F268">
            <v>16955</v>
          </cell>
          <cell r="G268">
            <v>5</v>
          </cell>
          <cell r="H268" t="str">
            <v>0</v>
          </cell>
          <cell r="I268" t="str">
            <v>0</v>
          </cell>
          <cell r="J268">
            <v>5</v>
          </cell>
          <cell r="K268">
            <v>16107</v>
          </cell>
          <cell r="L268">
            <v>16000</v>
          </cell>
        </row>
        <row r="269">
          <cell r="B269" t="str">
            <v>ООС-0104-001068</v>
          </cell>
          <cell r="C269" t="str">
            <v>Монитор VS+VX900</v>
          </cell>
          <cell r="D269">
            <v>38257</v>
          </cell>
          <cell r="E269">
            <v>17067.41</v>
          </cell>
          <cell r="F269">
            <v>16353</v>
          </cell>
          <cell r="G269">
            <v>5</v>
          </cell>
          <cell r="H269" t="str">
            <v>0</v>
          </cell>
          <cell r="I269" t="str">
            <v>0</v>
          </cell>
          <cell r="J269">
            <v>5</v>
          </cell>
          <cell r="K269">
            <v>15535</v>
          </cell>
          <cell r="L269">
            <v>16000</v>
          </cell>
        </row>
        <row r="270">
          <cell r="B270" t="str">
            <v>ООС-0104-000113</v>
          </cell>
          <cell r="C270" t="str">
            <v>Сис. Блок VEi8</v>
          </cell>
          <cell r="D270">
            <v>36433</v>
          </cell>
          <cell r="E270">
            <v>2602.44</v>
          </cell>
          <cell r="F270">
            <v>24009</v>
          </cell>
          <cell r="G270">
            <v>97</v>
          </cell>
          <cell r="H270" t="str">
            <v>0</v>
          </cell>
          <cell r="I270" t="str">
            <v>0</v>
          </cell>
          <cell r="J270">
            <v>97</v>
          </cell>
          <cell r="K270">
            <v>720</v>
          </cell>
          <cell r="L270">
            <v>720</v>
          </cell>
        </row>
        <row r="271">
          <cell r="B271" t="str">
            <v>ООС-0104-000114</v>
          </cell>
          <cell r="C271" t="str">
            <v>Сис. Блок VEi7</v>
          </cell>
          <cell r="D271">
            <v>36433</v>
          </cell>
          <cell r="E271">
            <v>1805.77</v>
          </cell>
          <cell r="F271">
            <v>16955</v>
          </cell>
          <cell r="G271">
            <v>97</v>
          </cell>
          <cell r="H271" t="str">
            <v>0</v>
          </cell>
          <cell r="I271" t="str">
            <v>0</v>
          </cell>
          <cell r="J271">
            <v>97</v>
          </cell>
          <cell r="K271">
            <v>509</v>
          </cell>
          <cell r="L271">
            <v>510</v>
          </cell>
        </row>
        <row r="272">
          <cell r="B272" t="str">
            <v>ООС-0104-000115</v>
          </cell>
          <cell r="C272" t="str">
            <v>Сис. Блок VEi7</v>
          </cell>
          <cell r="D272">
            <v>36433</v>
          </cell>
          <cell r="E272">
            <v>1805.77</v>
          </cell>
          <cell r="F272">
            <v>16955</v>
          </cell>
          <cell r="G272">
            <v>97</v>
          </cell>
          <cell r="H272" t="str">
            <v>0</v>
          </cell>
          <cell r="I272" t="str">
            <v>0</v>
          </cell>
          <cell r="J272">
            <v>97</v>
          </cell>
          <cell r="K272">
            <v>509</v>
          </cell>
          <cell r="L272">
            <v>510</v>
          </cell>
        </row>
        <row r="273">
          <cell r="B273" t="str">
            <v>ООС-0104-000121</v>
          </cell>
          <cell r="C273" t="str">
            <v>Ноутбук Satell 4030CDT</v>
          </cell>
          <cell r="D273">
            <v>36469</v>
          </cell>
          <cell r="E273">
            <v>5041.8900000000003</v>
          </cell>
          <cell r="F273">
            <v>14746</v>
          </cell>
          <cell r="G273">
            <v>97</v>
          </cell>
          <cell r="H273" t="str">
            <v>0</v>
          </cell>
          <cell r="I273" t="str">
            <v>0</v>
          </cell>
          <cell r="J273">
            <v>97</v>
          </cell>
          <cell r="K273">
            <v>442</v>
          </cell>
          <cell r="L273">
            <v>440</v>
          </cell>
        </row>
        <row r="274">
          <cell r="B274" t="str">
            <v>ООС-0104-000175</v>
          </cell>
          <cell r="C274" t="str">
            <v>Ноутбук Satell 2100CDT</v>
          </cell>
          <cell r="D274">
            <v>36586</v>
          </cell>
          <cell r="E274">
            <v>7283.53</v>
          </cell>
          <cell r="F274">
            <v>32099</v>
          </cell>
          <cell r="G274">
            <v>97</v>
          </cell>
          <cell r="H274" t="str">
            <v>0</v>
          </cell>
          <cell r="I274" t="str">
            <v>0</v>
          </cell>
          <cell r="J274">
            <v>97</v>
          </cell>
          <cell r="K274">
            <v>963</v>
          </cell>
          <cell r="L274">
            <v>960</v>
          </cell>
        </row>
        <row r="275">
          <cell r="B275" t="str">
            <v>ООС-0104-000176</v>
          </cell>
          <cell r="C275" t="str">
            <v>Ноутбук Tochiba IC 800</v>
          </cell>
          <cell r="D275">
            <v>36586</v>
          </cell>
          <cell r="E275">
            <v>7283.53</v>
          </cell>
          <cell r="F275">
            <v>13875</v>
          </cell>
          <cell r="G275">
            <v>97</v>
          </cell>
          <cell r="H275" t="str">
            <v>0</v>
          </cell>
          <cell r="I275" t="str">
            <v>0</v>
          </cell>
          <cell r="J275">
            <v>97</v>
          </cell>
          <cell r="K275">
            <v>416</v>
          </cell>
          <cell r="L275">
            <v>420</v>
          </cell>
        </row>
        <row r="276">
          <cell r="B276" t="str">
            <v>ООС-0104-000177</v>
          </cell>
          <cell r="C276" t="str">
            <v>Ноутбук Tochiba1800-S203</v>
          </cell>
          <cell r="D276">
            <v>36586</v>
          </cell>
          <cell r="E276">
            <v>7283.53</v>
          </cell>
          <cell r="F276">
            <v>13875</v>
          </cell>
          <cell r="G276">
            <v>97</v>
          </cell>
          <cell r="H276" t="str">
            <v>0</v>
          </cell>
          <cell r="I276" t="str">
            <v>0</v>
          </cell>
          <cell r="J276">
            <v>97</v>
          </cell>
          <cell r="K276">
            <v>416</v>
          </cell>
          <cell r="L276">
            <v>420</v>
          </cell>
        </row>
        <row r="277">
          <cell r="B277" t="str">
            <v>ООС-0104-000178</v>
          </cell>
          <cell r="C277" t="str">
            <v>Ноутбук Tochiba1800-S203</v>
          </cell>
          <cell r="D277">
            <v>36586</v>
          </cell>
          <cell r="E277">
            <v>7283.53</v>
          </cell>
          <cell r="F277">
            <v>13875</v>
          </cell>
          <cell r="G277">
            <v>97</v>
          </cell>
          <cell r="H277" t="str">
            <v>0</v>
          </cell>
          <cell r="I277" t="str">
            <v>0</v>
          </cell>
          <cell r="J277">
            <v>97</v>
          </cell>
          <cell r="K277">
            <v>416</v>
          </cell>
          <cell r="L277">
            <v>420</v>
          </cell>
        </row>
        <row r="278">
          <cell r="B278" t="str">
            <v>ООС-0104-000198</v>
          </cell>
          <cell r="C278" t="str">
            <v>Сис. Блок+мон. VS P655N</v>
          </cell>
          <cell r="D278">
            <v>36622</v>
          </cell>
          <cell r="E278">
            <v>4664.2299999999996</v>
          </cell>
          <cell r="F278">
            <v>17190</v>
          </cell>
          <cell r="G278">
            <v>95</v>
          </cell>
          <cell r="H278" t="str">
            <v>0</v>
          </cell>
          <cell r="I278" t="str">
            <v>0</v>
          </cell>
          <cell r="J278">
            <v>95</v>
          </cell>
          <cell r="K278">
            <v>860</v>
          </cell>
          <cell r="L278">
            <v>860</v>
          </cell>
        </row>
        <row r="279">
          <cell r="B279" t="str">
            <v>ООС-0104-000199</v>
          </cell>
          <cell r="C279" t="str">
            <v>Сис. Блок+мон. ADI ALF</v>
          </cell>
          <cell r="D279">
            <v>36622</v>
          </cell>
          <cell r="E279">
            <v>4664.2299999999996</v>
          </cell>
          <cell r="F279">
            <v>17190</v>
          </cell>
          <cell r="G279">
            <v>95</v>
          </cell>
          <cell r="H279" t="str">
            <v>0</v>
          </cell>
          <cell r="I279" t="str">
            <v>0</v>
          </cell>
          <cell r="J279">
            <v>95</v>
          </cell>
          <cell r="K279">
            <v>860</v>
          </cell>
          <cell r="L279">
            <v>860</v>
          </cell>
        </row>
        <row r="280">
          <cell r="B280" t="str">
            <v>ООС-0104-000204</v>
          </cell>
          <cell r="C280" t="str">
            <v>Сис. Блок Vei7</v>
          </cell>
          <cell r="D280">
            <v>36636</v>
          </cell>
          <cell r="E280">
            <v>5280.92</v>
          </cell>
          <cell r="F280">
            <v>16955</v>
          </cell>
          <cell r="G280">
            <v>93</v>
          </cell>
          <cell r="H280" t="str">
            <v>0</v>
          </cell>
          <cell r="I280" t="str">
            <v>0</v>
          </cell>
          <cell r="J280">
            <v>93</v>
          </cell>
          <cell r="K280">
            <v>1187</v>
          </cell>
          <cell r="L280">
            <v>1200</v>
          </cell>
        </row>
        <row r="281">
          <cell r="B281" t="str">
            <v>ООС-0104-000205</v>
          </cell>
          <cell r="C281" t="str">
            <v>Сис. Блок Vei7</v>
          </cell>
          <cell r="D281">
            <v>36636</v>
          </cell>
          <cell r="E281">
            <v>5280.92</v>
          </cell>
          <cell r="F281">
            <v>16955</v>
          </cell>
          <cell r="G281">
            <v>93</v>
          </cell>
          <cell r="H281" t="str">
            <v>0</v>
          </cell>
          <cell r="I281" t="str">
            <v>0</v>
          </cell>
          <cell r="J281">
            <v>93</v>
          </cell>
          <cell r="K281">
            <v>1187</v>
          </cell>
          <cell r="L281">
            <v>1200</v>
          </cell>
        </row>
        <row r="282">
          <cell r="B282" t="str">
            <v>ООС-0104-000206</v>
          </cell>
          <cell r="C282" t="str">
            <v>Сис. Блок Vei7</v>
          </cell>
          <cell r="D282">
            <v>36636</v>
          </cell>
          <cell r="E282">
            <v>5280.92</v>
          </cell>
          <cell r="F282">
            <v>16955</v>
          </cell>
          <cell r="G282">
            <v>93</v>
          </cell>
          <cell r="H282" t="str">
            <v>0</v>
          </cell>
          <cell r="I282" t="str">
            <v>0</v>
          </cell>
          <cell r="J282">
            <v>93</v>
          </cell>
          <cell r="K282">
            <v>1187</v>
          </cell>
          <cell r="L282">
            <v>1200</v>
          </cell>
        </row>
        <row r="283">
          <cell r="B283" t="str">
            <v>ООС-0104-000207</v>
          </cell>
          <cell r="C283" t="str">
            <v>Сис. Блок Vei7</v>
          </cell>
          <cell r="D283">
            <v>36636</v>
          </cell>
          <cell r="E283">
            <v>5280.92</v>
          </cell>
          <cell r="F283">
            <v>16955</v>
          </cell>
          <cell r="G283">
            <v>93</v>
          </cell>
          <cell r="H283" t="str">
            <v>0</v>
          </cell>
          <cell r="I283" t="str">
            <v>0</v>
          </cell>
          <cell r="J283">
            <v>93</v>
          </cell>
          <cell r="K283">
            <v>1187</v>
          </cell>
          <cell r="L283">
            <v>1200</v>
          </cell>
        </row>
        <row r="284">
          <cell r="B284" t="str">
            <v>ООС-0104-000208</v>
          </cell>
          <cell r="C284" t="str">
            <v>Сис. Блок Vei7</v>
          </cell>
          <cell r="D284">
            <v>36636</v>
          </cell>
          <cell r="E284">
            <v>5280.92</v>
          </cell>
          <cell r="F284">
            <v>16955</v>
          </cell>
          <cell r="G284">
            <v>93</v>
          </cell>
          <cell r="H284" t="str">
            <v>0</v>
          </cell>
          <cell r="I284" t="str">
            <v>0</v>
          </cell>
          <cell r="J284">
            <v>93</v>
          </cell>
          <cell r="K284">
            <v>1187</v>
          </cell>
          <cell r="L284">
            <v>1200</v>
          </cell>
        </row>
        <row r="285">
          <cell r="B285" t="str">
            <v>ООС-0104-000209</v>
          </cell>
          <cell r="C285" t="str">
            <v>Сис. Блок Vei7</v>
          </cell>
          <cell r="D285">
            <v>36636</v>
          </cell>
          <cell r="E285">
            <v>5280.92</v>
          </cell>
          <cell r="F285">
            <v>16955</v>
          </cell>
          <cell r="G285">
            <v>93</v>
          </cell>
          <cell r="H285" t="str">
            <v>0</v>
          </cell>
          <cell r="I285" t="str">
            <v>0</v>
          </cell>
          <cell r="J285">
            <v>93</v>
          </cell>
          <cell r="K285">
            <v>1187</v>
          </cell>
          <cell r="L285">
            <v>1200</v>
          </cell>
        </row>
        <row r="286">
          <cell r="B286" t="str">
            <v>ООС-0104-000210</v>
          </cell>
          <cell r="C286" t="str">
            <v>Сис. Блок Vei7</v>
          </cell>
          <cell r="D286">
            <v>36636</v>
          </cell>
          <cell r="E286">
            <v>5280.92</v>
          </cell>
          <cell r="F286">
            <v>16955</v>
          </cell>
          <cell r="G286">
            <v>93</v>
          </cell>
          <cell r="H286" t="str">
            <v>0</v>
          </cell>
          <cell r="I286" t="str">
            <v>0</v>
          </cell>
          <cell r="J286">
            <v>93</v>
          </cell>
          <cell r="K286">
            <v>1187</v>
          </cell>
          <cell r="L286">
            <v>1200</v>
          </cell>
        </row>
        <row r="287">
          <cell r="B287" t="str">
            <v>ООС-0104-000211</v>
          </cell>
          <cell r="C287" t="str">
            <v>Сис. Блок Vei7</v>
          </cell>
          <cell r="D287">
            <v>36636</v>
          </cell>
          <cell r="E287">
            <v>5280.92</v>
          </cell>
          <cell r="F287">
            <v>16955</v>
          </cell>
          <cell r="G287">
            <v>93</v>
          </cell>
          <cell r="H287" t="str">
            <v>0</v>
          </cell>
          <cell r="I287" t="str">
            <v>0</v>
          </cell>
          <cell r="J287">
            <v>93</v>
          </cell>
          <cell r="K287">
            <v>1187</v>
          </cell>
          <cell r="L287">
            <v>1200</v>
          </cell>
        </row>
        <row r="288">
          <cell r="B288" t="str">
            <v>ООС-0104-000327</v>
          </cell>
          <cell r="C288" t="str">
            <v>Сис. Блок HP VEi7</v>
          </cell>
          <cell r="D288">
            <v>36808</v>
          </cell>
          <cell r="E288">
            <v>5139.76</v>
          </cell>
          <cell r="F288">
            <v>16955</v>
          </cell>
          <cell r="G288">
            <v>85</v>
          </cell>
          <cell r="H288" t="str">
            <v>0</v>
          </cell>
          <cell r="I288" t="str">
            <v>0</v>
          </cell>
          <cell r="J288">
            <v>85</v>
          </cell>
          <cell r="K288">
            <v>2543</v>
          </cell>
          <cell r="L288">
            <v>2500</v>
          </cell>
        </row>
        <row r="289">
          <cell r="B289" t="str">
            <v>ООС-0104-000328</v>
          </cell>
          <cell r="C289" t="str">
            <v>Сис.блок+монит. HPD8897</v>
          </cell>
          <cell r="D289">
            <v>36809</v>
          </cell>
          <cell r="E289">
            <v>4918.46</v>
          </cell>
          <cell r="F289">
            <v>17190</v>
          </cell>
          <cell r="G289">
            <v>85</v>
          </cell>
          <cell r="H289" t="str">
            <v>0</v>
          </cell>
          <cell r="I289" t="str">
            <v>0</v>
          </cell>
          <cell r="J289">
            <v>85</v>
          </cell>
          <cell r="K289">
            <v>2579</v>
          </cell>
          <cell r="L289">
            <v>2600</v>
          </cell>
        </row>
        <row r="290">
          <cell r="B290" t="str">
            <v>ООС-0104-000329</v>
          </cell>
          <cell r="C290" t="str">
            <v>Сис. Блок Vei7</v>
          </cell>
          <cell r="D290">
            <v>36809</v>
          </cell>
          <cell r="E290">
            <v>4918.46</v>
          </cell>
          <cell r="F290">
            <v>16955</v>
          </cell>
          <cell r="G290">
            <v>85</v>
          </cell>
          <cell r="H290" t="str">
            <v>0</v>
          </cell>
          <cell r="I290" t="str">
            <v>0</v>
          </cell>
          <cell r="J290">
            <v>85</v>
          </cell>
          <cell r="K290">
            <v>2543</v>
          </cell>
          <cell r="L290">
            <v>2500</v>
          </cell>
        </row>
        <row r="291">
          <cell r="B291" t="str">
            <v>ООС-0104-000330</v>
          </cell>
          <cell r="C291" t="str">
            <v>Сис.блок Brio BA</v>
          </cell>
          <cell r="D291">
            <v>36809</v>
          </cell>
          <cell r="E291">
            <v>4918.46</v>
          </cell>
          <cell r="F291">
            <v>5879</v>
          </cell>
          <cell r="G291">
            <v>85</v>
          </cell>
          <cell r="H291" t="str">
            <v>0</v>
          </cell>
          <cell r="I291" t="str">
            <v>0</v>
          </cell>
          <cell r="J291">
            <v>85</v>
          </cell>
          <cell r="K291">
            <v>882</v>
          </cell>
          <cell r="L291">
            <v>880</v>
          </cell>
        </row>
        <row r="292">
          <cell r="B292" t="str">
            <v>ООС-0104-000335</v>
          </cell>
          <cell r="C292" t="str">
            <v>Сис. Блок VEi7</v>
          </cell>
          <cell r="D292">
            <v>36852</v>
          </cell>
          <cell r="E292">
            <v>4969.6899999999996</v>
          </cell>
          <cell r="F292">
            <v>16955</v>
          </cell>
          <cell r="G292">
            <v>82</v>
          </cell>
          <cell r="H292" t="str">
            <v>0</v>
          </cell>
          <cell r="I292" t="str">
            <v>0</v>
          </cell>
          <cell r="J292">
            <v>82</v>
          </cell>
          <cell r="K292">
            <v>3052</v>
          </cell>
          <cell r="L292">
            <v>3100</v>
          </cell>
        </row>
        <row r="293">
          <cell r="B293" t="str">
            <v>ООС-0104-000336</v>
          </cell>
          <cell r="C293" t="str">
            <v>Сис. Блок VEi7</v>
          </cell>
          <cell r="D293">
            <v>36843</v>
          </cell>
          <cell r="E293">
            <v>5414.74</v>
          </cell>
          <cell r="F293">
            <v>16955</v>
          </cell>
          <cell r="G293">
            <v>83</v>
          </cell>
          <cell r="H293" t="str">
            <v>0</v>
          </cell>
          <cell r="I293" t="str">
            <v>0</v>
          </cell>
          <cell r="J293">
            <v>83</v>
          </cell>
          <cell r="K293">
            <v>2882</v>
          </cell>
          <cell r="L293">
            <v>2900</v>
          </cell>
        </row>
        <row r="294">
          <cell r="B294" t="str">
            <v>ООС-0104-000337</v>
          </cell>
          <cell r="C294" t="str">
            <v>Сис. Блок+мон. Филипсс</v>
          </cell>
          <cell r="D294">
            <v>36831</v>
          </cell>
          <cell r="E294">
            <v>5106.8599999999997</v>
          </cell>
          <cell r="F294">
            <v>17190</v>
          </cell>
          <cell r="G294">
            <v>83</v>
          </cell>
          <cell r="H294" t="str">
            <v>0</v>
          </cell>
          <cell r="I294" t="str">
            <v>0</v>
          </cell>
          <cell r="J294">
            <v>83</v>
          </cell>
          <cell r="K294">
            <v>2922</v>
          </cell>
          <cell r="L294">
            <v>2900</v>
          </cell>
        </row>
        <row r="295">
          <cell r="B295" t="str">
            <v>ООС-0104-000338</v>
          </cell>
          <cell r="C295" t="str">
            <v>Сис. Блок VEi7</v>
          </cell>
          <cell r="D295">
            <v>36831</v>
          </cell>
          <cell r="E295">
            <v>5106.8599999999997</v>
          </cell>
          <cell r="F295">
            <v>16955</v>
          </cell>
          <cell r="G295">
            <v>83</v>
          </cell>
          <cell r="H295" t="str">
            <v>0</v>
          </cell>
          <cell r="I295" t="str">
            <v>0</v>
          </cell>
          <cell r="J295">
            <v>83</v>
          </cell>
          <cell r="K295">
            <v>2882</v>
          </cell>
          <cell r="L295">
            <v>2900</v>
          </cell>
        </row>
        <row r="296">
          <cell r="B296" t="str">
            <v>ООС-0104-000339</v>
          </cell>
          <cell r="C296" t="str">
            <v>Сис. Блок VEi7</v>
          </cell>
          <cell r="D296">
            <v>36831</v>
          </cell>
          <cell r="E296">
            <v>5106.8599999999997</v>
          </cell>
          <cell r="F296">
            <v>16955</v>
          </cell>
          <cell r="G296">
            <v>83</v>
          </cell>
          <cell r="H296" t="str">
            <v>0</v>
          </cell>
          <cell r="I296" t="str">
            <v>0</v>
          </cell>
          <cell r="J296">
            <v>83</v>
          </cell>
          <cell r="K296">
            <v>2882</v>
          </cell>
          <cell r="L296">
            <v>2900</v>
          </cell>
        </row>
        <row r="297">
          <cell r="B297" t="str">
            <v>ООС-0104-000340</v>
          </cell>
          <cell r="C297" t="str">
            <v>Сис. Блок VL400</v>
          </cell>
          <cell r="D297">
            <v>36852</v>
          </cell>
          <cell r="E297">
            <v>5347.15</v>
          </cell>
          <cell r="F297">
            <v>11076</v>
          </cell>
          <cell r="G297">
            <v>98</v>
          </cell>
          <cell r="H297" t="str">
            <v>0</v>
          </cell>
          <cell r="I297" t="str">
            <v>0</v>
          </cell>
          <cell r="J297">
            <v>98</v>
          </cell>
          <cell r="K297">
            <v>222</v>
          </cell>
          <cell r="L297">
            <v>220</v>
          </cell>
        </row>
        <row r="298">
          <cell r="B298" t="str">
            <v>ООС-0104-000766</v>
          </cell>
          <cell r="C298" t="str">
            <v>Пректор OP9000Ahhs</v>
          </cell>
          <cell r="D298">
            <v>37653</v>
          </cell>
          <cell r="E298">
            <v>5875.31</v>
          </cell>
          <cell r="F298">
            <v>12711</v>
          </cell>
          <cell r="G298">
            <v>27</v>
          </cell>
          <cell r="H298" t="str">
            <v>0</v>
          </cell>
          <cell r="I298" t="str">
            <v>0</v>
          </cell>
          <cell r="J298">
            <v>27</v>
          </cell>
          <cell r="K298">
            <v>9279</v>
          </cell>
          <cell r="L298">
            <v>9300</v>
          </cell>
        </row>
        <row r="299">
          <cell r="B299" t="str">
            <v>ООС-0104-000769</v>
          </cell>
          <cell r="C299" t="str">
            <v>Сис.Блок+монит. D8897VL</v>
          </cell>
          <cell r="D299">
            <v>37653</v>
          </cell>
          <cell r="E299">
            <v>10123.59</v>
          </cell>
          <cell r="F299">
            <v>17190</v>
          </cell>
          <cell r="G299">
            <v>38</v>
          </cell>
          <cell r="H299" t="str">
            <v>0</v>
          </cell>
          <cell r="I299" t="str">
            <v>0</v>
          </cell>
          <cell r="J299">
            <v>38</v>
          </cell>
          <cell r="K299">
            <v>10658</v>
          </cell>
          <cell r="L299">
            <v>11000</v>
          </cell>
        </row>
        <row r="300">
          <cell r="B300" t="str">
            <v>ООС-0104-000770</v>
          </cell>
          <cell r="C300" t="str">
            <v>Сис. Блок HPD8897</v>
          </cell>
          <cell r="D300">
            <v>37653</v>
          </cell>
          <cell r="E300">
            <v>10123.59</v>
          </cell>
          <cell r="F300">
            <v>15120</v>
          </cell>
          <cell r="G300">
            <v>38</v>
          </cell>
          <cell r="H300" t="str">
            <v>0</v>
          </cell>
          <cell r="I300" t="str">
            <v>0</v>
          </cell>
          <cell r="J300">
            <v>38</v>
          </cell>
          <cell r="K300">
            <v>9374</v>
          </cell>
          <cell r="L300">
            <v>9400</v>
          </cell>
        </row>
        <row r="301">
          <cell r="B301" t="str">
            <v>ООС-0104-000771</v>
          </cell>
          <cell r="C301" t="str">
            <v>Сис. Блок HPD8897</v>
          </cell>
          <cell r="D301">
            <v>37653</v>
          </cell>
          <cell r="E301">
            <v>10123.59</v>
          </cell>
          <cell r="F301">
            <v>15120</v>
          </cell>
          <cell r="G301">
            <v>38</v>
          </cell>
          <cell r="H301" t="str">
            <v>0</v>
          </cell>
          <cell r="I301" t="str">
            <v>0</v>
          </cell>
          <cell r="J301">
            <v>38</v>
          </cell>
          <cell r="K301">
            <v>9374</v>
          </cell>
          <cell r="L301">
            <v>9400</v>
          </cell>
        </row>
        <row r="302">
          <cell r="B302" t="str">
            <v>ООС-0104-000772</v>
          </cell>
          <cell r="C302" t="str">
            <v>Сис. Блок HPD8897</v>
          </cell>
          <cell r="D302">
            <v>37653</v>
          </cell>
          <cell r="E302">
            <v>17312.189999999999</v>
          </cell>
          <cell r="F302">
            <v>15120</v>
          </cell>
          <cell r="G302">
            <v>38</v>
          </cell>
          <cell r="H302" t="str">
            <v>0</v>
          </cell>
          <cell r="I302" t="str">
            <v>0</v>
          </cell>
          <cell r="J302">
            <v>38</v>
          </cell>
          <cell r="K302">
            <v>9374</v>
          </cell>
          <cell r="L302">
            <v>9400</v>
          </cell>
        </row>
        <row r="303">
          <cell r="B303" t="str">
            <v>ООС-0106-000266</v>
          </cell>
          <cell r="C303" t="str">
            <v>Автомобиль ВАЗ-21043</v>
          </cell>
          <cell r="D303">
            <v>36678</v>
          </cell>
          <cell r="E303">
            <v>14227.2</v>
          </cell>
          <cell r="F303">
            <v>95763</v>
          </cell>
          <cell r="G303">
            <v>97</v>
          </cell>
          <cell r="H303" t="str">
            <v>0</v>
          </cell>
          <cell r="I303" t="str">
            <v>0</v>
          </cell>
          <cell r="J303">
            <v>97</v>
          </cell>
          <cell r="K303">
            <v>2873</v>
          </cell>
          <cell r="L303">
            <v>2900</v>
          </cell>
        </row>
        <row r="304">
          <cell r="B304" t="str">
            <v>ООС-0104-000635</v>
          </cell>
          <cell r="C304" t="str">
            <v>Сис. Блок+монит. VL400</v>
          </cell>
          <cell r="D304">
            <v>37561</v>
          </cell>
          <cell r="E304">
            <v>16865.43</v>
          </cell>
          <cell r="F304">
            <v>34380</v>
          </cell>
          <cell r="G304">
            <v>43</v>
          </cell>
          <cell r="H304" t="str">
            <v>0</v>
          </cell>
          <cell r="I304" t="str">
            <v>0</v>
          </cell>
          <cell r="J304">
            <v>43</v>
          </cell>
          <cell r="K304">
            <v>19597</v>
          </cell>
          <cell r="L304">
            <v>20000</v>
          </cell>
        </row>
        <row r="305">
          <cell r="B305" t="str">
            <v>ООС-0104-000642</v>
          </cell>
          <cell r="C305" t="str">
            <v>Сис. Блок+монит. HP</v>
          </cell>
          <cell r="D305">
            <v>37561</v>
          </cell>
          <cell r="E305">
            <v>4344.57</v>
          </cell>
          <cell r="F305">
            <v>15097</v>
          </cell>
          <cell r="G305">
            <v>43</v>
          </cell>
          <cell r="H305" t="str">
            <v>0</v>
          </cell>
          <cell r="I305" t="str">
            <v>0</v>
          </cell>
          <cell r="J305">
            <v>43</v>
          </cell>
          <cell r="K305">
            <v>8605</v>
          </cell>
          <cell r="L305">
            <v>8600</v>
          </cell>
        </row>
        <row r="306">
          <cell r="B306" t="str">
            <v>ООС-0104-000643</v>
          </cell>
          <cell r="C306" t="str">
            <v>Сис.блок+монит. P2</v>
          </cell>
          <cell r="D306">
            <v>37561</v>
          </cell>
          <cell r="E306">
            <v>4178.93</v>
          </cell>
          <cell r="F306">
            <v>15097</v>
          </cell>
          <cell r="G306">
            <v>43</v>
          </cell>
          <cell r="H306" t="str">
            <v>0</v>
          </cell>
          <cell r="I306" t="str">
            <v>0</v>
          </cell>
          <cell r="J306">
            <v>43</v>
          </cell>
          <cell r="K306">
            <v>8605</v>
          </cell>
          <cell r="L306">
            <v>8600</v>
          </cell>
        </row>
        <row r="307">
          <cell r="B307" t="str">
            <v>ООС-0104-001004</v>
          </cell>
          <cell r="C307" t="str">
            <v>Уппаков. Аппарат 405/PS</v>
          </cell>
          <cell r="D307">
            <v>38107</v>
          </cell>
          <cell r="E307">
            <v>84698.21</v>
          </cell>
          <cell r="F307">
            <v>10695</v>
          </cell>
          <cell r="G307">
            <v>10</v>
          </cell>
          <cell r="H307" t="str">
            <v>0</v>
          </cell>
          <cell r="I307" t="str">
            <v>0</v>
          </cell>
          <cell r="J307">
            <v>10</v>
          </cell>
          <cell r="K307">
            <v>9626</v>
          </cell>
          <cell r="L307">
            <v>9600</v>
          </cell>
        </row>
        <row r="308">
          <cell r="B308" t="str">
            <v>ООС-0104-000169</v>
          </cell>
          <cell r="C308" t="str">
            <v>Сис. Блок Vei7</v>
          </cell>
          <cell r="D308">
            <v>36551</v>
          </cell>
          <cell r="E308">
            <v>3439.51</v>
          </cell>
          <cell r="F308">
            <v>16955</v>
          </cell>
          <cell r="G308">
            <v>98</v>
          </cell>
          <cell r="H308" t="str">
            <v>0</v>
          </cell>
          <cell r="I308" t="str">
            <v>0</v>
          </cell>
          <cell r="J308">
            <v>98</v>
          </cell>
          <cell r="K308">
            <v>339</v>
          </cell>
          <cell r="L308">
            <v>340</v>
          </cell>
        </row>
        <row r="309">
          <cell r="B309" t="str">
            <v>ООС-0104-000197</v>
          </cell>
          <cell r="C309" t="str">
            <v>Сис. Блок Vei8</v>
          </cell>
          <cell r="D309">
            <v>36628</v>
          </cell>
          <cell r="E309">
            <v>6284.94</v>
          </cell>
          <cell r="F309">
            <v>24009</v>
          </cell>
          <cell r="G309">
            <v>95</v>
          </cell>
          <cell r="H309" t="str">
            <v>0</v>
          </cell>
          <cell r="I309" t="str">
            <v>0</v>
          </cell>
          <cell r="J309">
            <v>95</v>
          </cell>
          <cell r="K309">
            <v>1200</v>
          </cell>
          <cell r="L309">
            <v>1200</v>
          </cell>
        </row>
        <row r="310">
          <cell r="B310" t="str">
            <v>ООС-0104-000996</v>
          </cell>
          <cell r="C310" t="str">
            <v>Подьемник лифтер TM10</v>
          </cell>
          <cell r="D310">
            <v>38077</v>
          </cell>
          <cell r="E310">
            <v>68139.67</v>
          </cell>
          <cell r="F310">
            <v>41271</v>
          </cell>
          <cell r="G310">
            <v>8</v>
          </cell>
          <cell r="H310" t="str">
            <v>0</v>
          </cell>
          <cell r="I310" t="str">
            <v>0</v>
          </cell>
          <cell r="J310">
            <v>8</v>
          </cell>
          <cell r="K310">
            <v>37969</v>
          </cell>
          <cell r="L310">
            <v>38000</v>
          </cell>
        </row>
        <row r="311">
          <cell r="B311" t="str">
            <v>ООС-0104-001003</v>
          </cell>
          <cell r="C311" t="str">
            <v>Пресс для Rptoplat</v>
          </cell>
          <cell r="D311">
            <v>38107</v>
          </cell>
          <cell r="E311">
            <v>17399.509999999998</v>
          </cell>
          <cell r="F311">
            <v>15991</v>
          </cell>
          <cell r="G311">
            <v>10</v>
          </cell>
          <cell r="H311" t="str">
            <v>0</v>
          </cell>
          <cell r="I311" t="str">
            <v>0</v>
          </cell>
          <cell r="J311">
            <v>10</v>
          </cell>
          <cell r="K311">
            <v>14392</v>
          </cell>
          <cell r="L311">
            <v>14000</v>
          </cell>
        </row>
        <row r="312">
          <cell r="B312" t="str">
            <v>ООС-0105-000526</v>
          </cell>
          <cell r="C312" t="str">
            <v>Стеллажи</v>
          </cell>
          <cell r="D312">
            <v>38077</v>
          </cell>
          <cell r="E312">
            <v>132089.93</v>
          </cell>
          <cell r="F312">
            <v>117580</v>
          </cell>
          <cell r="G312">
            <v>3</v>
          </cell>
          <cell r="H312" t="str">
            <v>0</v>
          </cell>
          <cell r="I312" t="str">
            <v>0</v>
          </cell>
          <cell r="J312">
            <v>3</v>
          </cell>
          <cell r="K312">
            <v>114053</v>
          </cell>
          <cell r="L312">
            <v>114000</v>
          </cell>
        </row>
        <row r="313">
          <cell r="B313" t="str">
            <v>ООС-0105-000527</v>
          </cell>
          <cell r="C313" t="str">
            <v>Стеллажи</v>
          </cell>
          <cell r="D313">
            <v>38077</v>
          </cell>
          <cell r="E313">
            <v>54972.23</v>
          </cell>
          <cell r="F313">
            <v>70547</v>
          </cell>
          <cell r="G313">
            <v>3</v>
          </cell>
          <cell r="H313" t="str">
            <v>0</v>
          </cell>
          <cell r="I313" t="str">
            <v>0</v>
          </cell>
          <cell r="J313">
            <v>3</v>
          </cell>
          <cell r="K313">
            <v>68431</v>
          </cell>
          <cell r="L313">
            <v>68000</v>
          </cell>
        </row>
        <row r="314">
          <cell r="B314" t="str">
            <v>ООС-0104-000413</v>
          </cell>
          <cell r="C314" t="str">
            <v>Батарейка SUPS1000</v>
          </cell>
          <cell r="D314">
            <v>36979</v>
          </cell>
          <cell r="E314">
            <v>0</v>
          </cell>
          <cell r="F314">
            <v>4421</v>
          </cell>
          <cell r="G314">
            <v>75</v>
          </cell>
          <cell r="H314" t="str">
            <v>0</v>
          </cell>
          <cell r="I314" t="str">
            <v>0</v>
          </cell>
          <cell r="J314">
            <v>75</v>
          </cell>
          <cell r="K314">
            <v>1105</v>
          </cell>
          <cell r="L314">
            <v>1100</v>
          </cell>
        </row>
        <row r="315">
          <cell r="B315" t="str">
            <v>ООС-0104-000414</v>
          </cell>
          <cell r="C315" t="str">
            <v>Батарейка SUPS1000</v>
          </cell>
          <cell r="D315">
            <v>36979</v>
          </cell>
          <cell r="E315">
            <v>0</v>
          </cell>
          <cell r="F315">
            <v>4421</v>
          </cell>
          <cell r="G315">
            <v>75</v>
          </cell>
          <cell r="H315" t="str">
            <v>0</v>
          </cell>
          <cell r="I315" t="str">
            <v>0</v>
          </cell>
          <cell r="J315">
            <v>75</v>
          </cell>
          <cell r="K315">
            <v>1105</v>
          </cell>
          <cell r="L315">
            <v>1100</v>
          </cell>
        </row>
        <row r="316">
          <cell r="B316" t="str">
            <v>ООС-0104-000452</v>
          </cell>
          <cell r="C316" t="str">
            <v>Тел. Panasonic KT-ST15</v>
          </cell>
          <cell r="D316">
            <v>37165</v>
          </cell>
          <cell r="E316">
            <v>0</v>
          </cell>
          <cell r="F316">
            <v>5096</v>
          </cell>
          <cell r="G316">
            <v>65</v>
          </cell>
          <cell r="H316" t="str">
            <v>0</v>
          </cell>
          <cell r="I316" t="str">
            <v>0</v>
          </cell>
          <cell r="J316">
            <v>65</v>
          </cell>
          <cell r="K316">
            <v>1784</v>
          </cell>
          <cell r="L316">
            <v>1800</v>
          </cell>
        </row>
        <row r="317">
          <cell r="B317" t="str">
            <v>ООС-0104-000453</v>
          </cell>
          <cell r="C317" t="str">
            <v>Тел. Panasonic KT-ST15</v>
          </cell>
          <cell r="D317">
            <v>37165</v>
          </cell>
          <cell r="E317">
            <v>0</v>
          </cell>
          <cell r="F317">
            <v>5096</v>
          </cell>
          <cell r="G317">
            <v>65</v>
          </cell>
          <cell r="H317" t="str">
            <v>0</v>
          </cell>
          <cell r="I317" t="str">
            <v>0</v>
          </cell>
          <cell r="J317">
            <v>65</v>
          </cell>
          <cell r="K317">
            <v>1784</v>
          </cell>
          <cell r="L317">
            <v>1800</v>
          </cell>
        </row>
        <row r="318">
          <cell r="B318" t="str">
            <v>ООС-0104-000454</v>
          </cell>
          <cell r="C318" t="str">
            <v>Тел. Panasonic KT-ST15</v>
          </cell>
          <cell r="D318">
            <v>37165</v>
          </cell>
          <cell r="E318">
            <v>0</v>
          </cell>
          <cell r="F318">
            <v>5096</v>
          </cell>
          <cell r="G318">
            <v>65</v>
          </cell>
          <cell r="H318" t="str">
            <v>0</v>
          </cell>
          <cell r="I318" t="str">
            <v>0</v>
          </cell>
          <cell r="J318">
            <v>65</v>
          </cell>
          <cell r="K318">
            <v>1784</v>
          </cell>
          <cell r="L318">
            <v>1800</v>
          </cell>
        </row>
        <row r="319">
          <cell r="B319" t="str">
            <v>ООС-0104-000455</v>
          </cell>
          <cell r="C319" t="str">
            <v>Тел. Panasonic KT-ST15</v>
          </cell>
          <cell r="D319">
            <v>37165</v>
          </cell>
          <cell r="E319">
            <v>0</v>
          </cell>
          <cell r="F319">
            <v>5096</v>
          </cell>
          <cell r="G319">
            <v>65</v>
          </cell>
          <cell r="H319" t="str">
            <v>0</v>
          </cell>
          <cell r="I319" t="str">
            <v>0</v>
          </cell>
          <cell r="J319">
            <v>65</v>
          </cell>
          <cell r="K319">
            <v>1784</v>
          </cell>
          <cell r="L319">
            <v>1800</v>
          </cell>
        </row>
        <row r="320">
          <cell r="B320" t="str">
            <v>ООС-0104-000456</v>
          </cell>
          <cell r="C320" t="str">
            <v>Тел. Panasonic KT-ST15</v>
          </cell>
          <cell r="D320">
            <v>37165</v>
          </cell>
          <cell r="E320">
            <v>0</v>
          </cell>
          <cell r="F320">
            <v>5096</v>
          </cell>
          <cell r="G320">
            <v>65</v>
          </cell>
          <cell r="H320" t="str">
            <v>0</v>
          </cell>
          <cell r="I320" t="str">
            <v>0</v>
          </cell>
          <cell r="J320">
            <v>65</v>
          </cell>
          <cell r="K320">
            <v>1784</v>
          </cell>
          <cell r="L320">
            <v>1800</v>
          </cell>
        </row>
        <row r="321">
          <cell r="B321" t="str">
            <v>ООС-0104-000457</v>
          </cell>
          <cell r="C321" t="str">
            <v>Тел. Panasonic KT-ST15</v>
          </cell>
          <cell r="D321">
            <v>37165</v>
          </cell>
          <cell r="E321">
            <v>0</v>
          </cell>
          <cell r="F321">
            <v>5096</v>
          </cell>
          <cell r="G321">
            <v>65</v>
          </cell>
          <cell r="H321" t="str">
            <v>0</v>
          </cell>
          <cell r="I321" t="str">
            <v>0</v>
          </cell>
          <cell r="J321">
            <v>65</v>
          </cell>
          <cell r="K321">
            <v>1784</v>
          </cell>
          <cell r="L321">
            <v>1800</v>
          </cell>
        </row>
        <row r="322">
          <cell r="B322" t="str">
            <v>ООС-0104-000657</v>
          </cell>
          <cell r="C322" t="str">
            <v>Принтер HPLJ4050</v>
          </cell>
          <cell r="D322">
            <v>37622</v>
          </cell>
          <cell r="E322">
            <v>21392.58</v>
          </cell>
          <cell r="F322">
            <v>44522</v>
          </cell>
          <cell r="G322">
            <v>40</v>
          </cell>
          <cell r="H322" t="str">
            <v>0</v>
          </cell>
          <cell r="I322" t="str">
            <v>0</v>
          </cell>
          <cell r="J322">
            <v>40</v>
          </cell>
          <cell r="K322">
            <v>26713</v>
          </cell>
          <cell r="L322">
            <v>27000</v>
          </cell>
        </row>
        <row r="323">
          <cell r="B323" t="str">
            <v>ООС-0104-000669</v>
          </cell>
          <cell r="C323" t="str">
            <v>Монитор HP 55</v>
          </cell>
          <cell r="D323">
            <v>37622</v>
          </cell>
          <cell r="E323">
            <v>0</v>
          </cell>
          <cell r="F323">
            <v>12063</v>
          </cell>
          <cell r="G323">
            <v>40</v>
          </cell>
          <cell r="H323" t="str">
            <v>0</v>
          </cell>
          <cell r="I323" t="str">
            <v>0</v>
          </cell>
          <cell r="J323">
            <v>40</v>
          </cell>
          <cell r="K323">
            <v>7238</v>
          </cell>
          <cell r="L323">
            <v>7200</v>
          </cell>
        </row>
        <row r="324">
          <cell r="B324" t="str">
            <v>ООС-0104-000694</v>
          </cell>
          <cell r="C324" t="str">
            <v>Сис. Блок VL400</v>
          </cell>
          <cell r="D324">
            <v>37622</v>
          </cell>
          <cell r="E324">
            <v>13914.36</v>
          </cell>
          <cell r="F324">
            <v>11076</v>
          </cell>
          <cell r="G324">
            <v>40</v>
          </cell>
          <cell r="H324" t="str">
            <v>0</v>
          </cell>
          <cell r="I324" t="str">
            <v>0</v>
          </cell>
          <cell r="J324">
            <v>40</v>
          </cell>
          <cell r="K324">
            <v>6646</v>
          </cell>
          <cell r="L324">
            <v>6600</v>
          </cell>
        </row>
        <row r="325">
          <cell r="B325" t="str">
            <v>ООС-0104-000946</v>
          </cell>
          <cell r="C325" t="str">
            <v xml:space="preserve">Сервер HP LH </v>
          </cell>
          <cell r="D325">
            <v>38034</v>
          </cell>
          <cell r="E325">
            <v>24861.64</v>
          </cell>
          <cell r="F325">
            <v>34615</v>
          </cell>
          <cell r="G325">
            <v>18</v>
          </cell>
          <cell r="H325" t="str">
            <v>0</v>
          </cell>
          <cell r="I325" t="str">
            <v>0</v>
          </cell>
          <cell r="J325">
            <v>18</v>
          </cell>
          <cell r="K325">
            <v>28384</v>
          </cell>
          <cell r="L325">
            <v>28000</v>
          </cell>
        </row>
        <row r="326">
          <cell r="B326" t="str">
            <v>ООС-0104-000969</v>
          </cell>
          <cell r="C326" t="str">
            <v>Сис. Блок Vei8</v>
          </cell>
          <cell r="D326">
            <v>38034</v>
          </cell>
          <cell r="E326">
            <v>13559.65</v>
          </cell>
          <cell r="F326">
            <v>24009</v>
          </cell>
          <cell r="G326">
            <v>18</v>
          </cell>
          <cell r="H326" t="str">
            <v>0</v>
          </cell>
          <cell r="I326" t="str">
            <v>0</v>
          </cell>
          <cell r="J326">
            <v>18</v>
          </cell>
          <cell r="K326">
            <v>19687</v>
          </cell>
          <cell r="L326">
            <v>20000</v>
          </cell>
        </row>
        <row r="327">
          <cell r="B327" t="str">
            <v>ООС-0104-000970</v>
          </cell>
          <cell r="C327" t="str">
            <v>Сис. Блок HPE-ps40</v>
          </cell>
          <cell r="D327">
            <v>38034</v>
          </cell>
          <cell r="E327">
            <v>13559.65</v>
          </cell>
          <cell r="F327">
            <v>16955</v>
          </cell>
          <cell r="G327">
            <v>18</v>
          </cell>
          <cell r="H327" t="str">
            <v>0</v>
          </cell>
          <cell r="I327" t="str">
            <v>0</v>
          </cell>
          <cell r="J327">
            <v>18</v>
          </cell>
          <cell r="K327">
            <v>13903</v>
          </cell>
          <cell r="L327">
            <v>14000</v>
          </cell>
        </row>
        <row r="328">
          <cell r="B328" t="str">
            <v>ООС-0104-000971</v>
          </cell>
          <cell r="C328" t="str">
            <v>Сис. Блок  HP Ve5</v>
          </cell>
          <cell r="D328">
            <v>38034</v>
          </cell>
          <cell r="E328">
            <v>13559.65</v>
          </cell>
          <cell r="F328">
            <v>16955</v>
          </cell>
          <cell r="G328">
            <v>18</v>
          </cell>
          <cell r="H328" t="str">
            <v>0</v>
          </cell>
          <cell r="I328" t="str">
            <v>0</v>
          </cell>
          <cell r="J328">
            <v>18</v>
          </cell>
          <cell r="K328">
            <v>13903</v>
          </cell>
          <cell r="L328">
            <v>14000</v>
          </cell>
        </row>
        <row r="329">
          <cell r="B329" t="str">
            <v>ООС-0104-000972</v>
          </cell>
          <cell r="C329" t="str">
            <v>Сис. Блок HP VE5D5602</v>
          </cell>
          <cell r="D329">
            <v>38034</v>
          </cell>
          <cell r="E329">
            <v>13559.65</v>
          </cell>
          <cell r="F329">
            <v>16955</v>
          </cell>
          <cell r="G329">
            <v>18</v>
          </cell>
          <cell r="H329" t="str">
            <v>0</v>
          </cell>
          <cell r="I329" t="str">
            <v>0</v>
          </cell>
          <cell r="J329">
            <v>18</v>
          </cell>
          <cell r="K329">
            <v>13903</v>
          </cell>
          <cell r="L329">
            <v>14000</v>
          </cell>
        </row>
        <row r="330">
          <cell r="B330" t="str">
            <v>ООС-0104-000973</v>
          </cell>
          <cell r="C330" t="str">
            <v>Сис. Блок HPVE5D5602</v>
          </cell>
          <cell r="D330">
            <v>38034</v>
          </cell>
          <cell r="E330">
            <v>13559.65</v>
          </cell>
          <cell r="F330">
            <v>16955</v>
          </cell>
          <cell r="G330">
            <v>18</v>
          </cell>
          <cell r="H330" t="str">
            <v>0</v>
          </cell>
          <cell r="I330" t="str">
            <v>0</v>
          </cell>
          <cell r="J330">
            <v>18</v>
          </cell>
          <cell r="K330">
            <v>13903</v>
          </cell>
          <cell r="L330">
            <v>14000</v>
          </cell>
        </row>
        <row r="331">
          <cell r="B331" t="str">
            <v>ООС-0104-000974</v>
          </cell>
          <cell r="C331" t="str">
            <v>Сис. Блок VI410</v>
          </cell>
          <cell r="D331">
            <v>38034</v>
          </cell>
          <cell r="E331">
            <v>13559.65</v>
          </cell>
          <cell r="F331">
            <v>19894</v>
          </cell>
          <cell r="G331">
            <v>18</v>
          </cell>
          <cell r="H331" t="str">
            <v>0</v>
          </cell>
          <cell r="I331" t="str">
            <v>0</v>
          </cell>
          <cell r="J331">
            <v>18</v>
          </cell>
          <cell r="K331">
            <v>16313</v>
          </cell>
          <cell r="L331">
            <v>16000</v>
          </cell>
        </row>
        <row r="332">
          <cell r="B332" t="str">
            <v>ООС-0104-000975</v>
          </cell>
          <cell r="C332" t="str">
            <v>Сис. Блок VI410</v>
          </cell>
          <cell r="D332">
            <v>38034</v>
          </cell>
          <cell r="E332">
            <v>13559.65</v>
          </cell>
          <cell r="F332">
            <v>19894</v>
          </cell>
          <cell r="G332">
            <v>18</v>
          </cell>
          <cell r="H332" t="str">
            <v>0</v>
          </cell>
          <cell r="I332" t="str">
            <v>0</v>
          </cell>
          <cell r="J332">
            <v>18</v>
          </cell>
          <cell r="K332">
            <v>16313</v>
          </cell>
          <cell r="L332">
            <v>16000</v>
          </cell>
        </row>
        <row r="333">
          <cell r="B333" t="str">
            <v>ООС-0104-000976</v>
          </cell>
          <cell r="C333" t="str">
            <v>Сис. Блок VE5 D5602</v>
          </cell>
          <cell r="D333">
            <v>38034</v>
          </cell>
          <cell r="E333">
            <v>13559.65</v>
          </cell>
          <cell r="F333">
            <v>16955</v>
          </cell>
          <cell r="G333">
            <v>18</v>
          </cell>
          <cell r="H333" t="str">
            <v>0</v>
          </cell>
          <cell r="I333" t="str">
            <v>0</v>
          </cell>
          <cell r="J333">
            <v>18</v>
          </cell>
          <cell r="K333">
            <v>13903</v>
          </cell>
          <cell r="L333">
            <v>14000</v>
          </cell>
        </row>
        <row r="334">
          <cell r="B334" t="str">
            <v>ООС-0104-000165</v>
          </cell>
          <cell r="C334" t="str">
            <v>Сет. Оборуд.Cisco1600</v>
          </cell>
          <cell r="D334">
            <v>36556</v>
          </cell>
          <cell r="E334">
            <v>3700.45</v>
          </cell>
          <cell r="F334">
            <v>28196</v>
          </cell>
          <cell r="G334">
            <v>98</v>
          </cell>
          <cell r="H334" t="str">
            <v>0</v>
          </cell>
          <cell r="I334" t="str">
            <v>0</v>
          </cell>
          <cell r="J334">
            <v>98</v>
          </cell>
          <cell r="K334">
            <v>564</v>
          </cell>
          <cell r="L334">
            <v>560</v>
          </cell>
        </row>
        <row r="335">
          <cell r="B335" t="str">
            <v>ООС-0104-000166</v>
          </cell>
          <cell r="C335" t="str">
            <v>Сет. Оборуд.Cisco1601</v>
          </cell>
          <cell r="D335">
            <v>36556</v>
          </cell>
          <cell r="E335">
            <v>3700.45</v>
          </cell>
          <cell r="F335">
            <v>28196</v>
          </cell>
          <cell r="G335">
            <v>98</v>
          </cell>
          <cell r="H335" t="str">
            <v>0</v>
          </cell>
          <cell r="I335" t="str">
            <v>0</v>
          </cell>
          <cell r="J335">
            <v>98</v>
          </cell>
          <cell r="K335">
            <v>564</v>
          </cell>
          <cell r="L335">
            <v>560</v>
          </cell>
        </row>
        <row r="336">
          <cell r="B336" t="str">
            <v>ООС-0104-000168</v>
          </cell>
          <cell r="C336" t="str">
            <v>Сис. Блок Vei7</v>
          </cell>
          <cell r="D336">
            <v>36551</v>
          </cell>
          <cell r="E336">
            <v>3439.51</v>
          </cell>
          <cell r="F336">
            <v>16955</v>
          </cell>
          <cell r="G336">
            <v>98</v>
          </cell>
          <cell r="H336" t="str">
            <v>0</v>
          </cell>
          <cell r="I336" t="str">
            <v>0</v>
          </cell>
          <cell r="J336">
            <v>98</v>
          </cell>
          <cell r="K336">
            <v>339</v>
          </cell>
          <cell r="L336">
            <v>340</v>
          </cell>
        </row>
        <row r="337">
          <cell r="B337" t="str">
            <v>ООС-0104-000172</v>
          </cell>
          <cell r="C337" t="str">
            <v>Копп. Апп. Rex-Rotaru2827</v>
          </cell>
          <cell r="D337">
            <v>36571</v>
          </cell>
          <cell r="E337">
            <v>22249.74</v>
          </cell>
          <cell r="F337">
            <v>15820</v>
          </cell>
          <cell r="G337">
            <v>98</v>
          </cell>
          <cell r="H337" t="str">
            <v>0</v>
          </cell>
          <cell r="I337" t="str">
            <v>0</v>
          </cell>
          <cell r="J337">
            <v>98</v>
          </cell>
          <cell r="K337">
            <v>316</v>
          </cell>
          <cell r="L337">
            <v>320</v>
          </cell>
        </row>
        <row r="338">
          <cell r="B338" t="str">
            <v>ООС-0104-000225</v>
          </cell>
          <cell r="C338" t="str">
            <v>Факс Panafax uf s2</v>
          </cell>
          <cell r="D338">
            <v>36683</v>
          </cell>
          <cell r="E338">
            <v>0</v>
          </cell>
          <cell r="F338">
            <v>8729</v>
          </cell>
          <cell r="G338">
            <v>92</v>
          </cell>
          <cell r="H338" t="str">
            <v>0</v>
          </cell>
          <cell r="I338" t="str">
            <v>0</v>
          </cell>
          <cell r="J338">
            <v>92</v>
          </cell>
          <cell r="K338">
            <v>698</v>
          </cell>
          <cell r="L338">
            <v>700</v>
          </cell>
        </row>
        <row r="339">
          <cell r="B339" t="str">
            <v>ООС-0104-000284</v>
          </cell>
          <cell r="C339" t="str">
            <v>Копп. Апп. Rex-Rotaru5110</v>
          </cell>
          <cell r="D339">
            <v>36711</v>
          </cell>
          <cell r="E339">
            <v>31416.6</v>
          </cell>
          <cell r="F339">
            <v>15820</v>
          </cell>
          <cell r="G339">
            <v>90</v>
          </cell>
          <cell r="H339" t="str">
            <v>0</v>
          </cell>
          <cell r="I339" t="str">
            <v>0</v>
          </cell>
          <cell r="J339">
            <v>90</v>
          </cell>
          <cell r="K339">
            <v>1582</v>
          </cell>
          <cell r="L339">
            <v>1600</v>
          </cell>
        </row>
        <row r="340">
          <cell r="B340" t="str">
            <v>ООС-0104-000289</v>
          </cell>
          <cell r="C340" t="str">
            <v>Сис. Блок Vei7</v>
          </cell>
          <cell r="D340">
            <v>36728</v>
          </cell>
          <cell r="E340">
            <v>4487.7</v>
          </cell>
          <cell r="F340">
            <v>16955</v>
          </cell>
          <cell r="G340">
            <v>88</v>
          </cell>
          <cell r="H340" t="str">
            <v>0</v>
          </cell>
          <cell r="I340" t="str">
            <v>0</v>
          </cell>
          <cell r="J340">
            <v>88</v>
          </cell>
          <cell r="K340">
            <v>2035</v>
          </cell>
          <cell r="L340">
            <v>2000</v>
          </cell>
        </row>
        <row r="341">
          <cell r="B341" t="str">
            <v>ООС-0104-000290</v>
          </cell>
          <cell r="C341" t="str">
            <v>Сис. Блок Vei7</v>
          </cell>
          <cell r="D341">
            <v>36728</v>
          </cell>
          <cell r="E341">
            <v>4487.7</v>
          </cell>
          <cell r="F341">
            <v>16955</v>
          </cell>
          <cell r="G341">
            <v>88</v>
          </cell>
          <cell r="H341" t="str">
            <v>0</v>
          </cell>
          <cell r="I341" t="str">
            <v>0</v>
          </cell>
          <cell r="J341">
            <v>88</v>
          </cell>
          <cell r="K341">
            <v>2035</v>
          </cell>
          <cell r="L341">
            <v>2000</v>
          </cell>
        </row>
        <row r="342">
          <cell r="B342" t="str">
            <v>ООС-0104-000291</v>
          </cell>
          <cell r="C342" t="str">
            <v>Сис. Блок Vei7</v>
          </cell>
          <cell r="D342">
            <v>36728</v>
          </cell>
          <cell r="E342">
            <v>4487.7</v>
          </cell>
          <cell r="F342">
            <v>16955</v>
          </cell>
          <cell r="G342">
            <v>88</v>
          </cell>
          <cell r="H342" t="str">
            <v>0</v>
          </cell>
          <cell r="I342" t="str">
            <v>0</v>
          </cell>
          <cell r="J342">
            <v>88</v>
          </cell>
          <cell r="K342">
            <v>2035</v>
          </cell>
          <cell r="L342">
            <v>2000</v>
          </cell>
        </row>
        <row r="343">
          <cell r="B343" t="str">
            <v>ООС-0104-000292</v>
          </cell>
          <cell r="C343" t="str">
            <v>Сис. Блок Vei7</v>
          </cell>
          <cell r="D343">
            <v>36728</v>
          </cell>
          <cell r="E343">
            <v>4487.7</v>
          </cell>
          <cell r="F343">
            <v>16955</v>
          </cell>
          <cell r="G343">
            <v>88</v>
          </cell>
          <cell r="H343" t="str">
            <v>0</v>
          </cell>
          <cell r="I343" t="str">
            <v>0</v>
          </cell>
          <cell r="J343">
            <v>88</v>
          </cell>
          <cell r="K343">
            <v>2035</v>
          </cell>
          <cell r="L343">
            <v>2000</v>
          </cell>
        </row>
        <row r="344">
          <cell r="B344" t="str">
            <v>ООС-0104-000293</v>
          </cell>
          <cell r="C344" t="str">
            <v>Сис. Блок Vei7</v>
          </cell>
          <cell r="D344">
            <v>36728</v>
          </cell>
          <cell r="E344">
            <v>4487.7</v>
          </cell>
          <cell r="F344">
            <v>16955</v>
          </cell>
          <cell r="G344">
            <v>88</v>
          </cell>
          <cell r="H344" t="str">
            <v>0</v>
          </cell>
          <cell r="I344" t="str">
            <v>0</v>
          </cell>
          <cell r="J344">
            <v>88</v>
          </cell>
          <cell r="K344">
            <v>2035</v>
          </cell>
          <cell r="L344">
            <v>2000</v>
          </cell>
        </row>
        <row r="345">
          <cell r="B345" t="str">
            <v>ООС-0104-000308</v>
          </cell>
          <cell r="C345" t="str">
            <v>Копп. Апп. Rex-Rotaru8851</v>
          </cell>
          <cell r="D345">
            <v>36739</v>
          </cell>
          <cell r="E345">
            <v>57116.93</v>
          </cell>
          <cell r="F345">
            <v>15820</v>
          </cell>
          <cell r="G345">
            <v>88</v>
          </cell>
          <cell r="H345" t="str">
            <v>0</v>
          </cell>
          <cell r="I345" t="str">
            <v>0</v>
          </cell>
          <cell r="J345">
            <v>88</v>
          </cell>
          <cell r="K345">
            <v>1898</v>
          </cell>
          <cell r="L345">
            <v>1900</v>
          </cell>
        </row>
        <row r="346">
          <cell r="B346" t="str">
            <v>ООС-0104-000671</v>
          </cell>
          <cell r="C346" t="str">
            <v>Принтер HPLJ4050</v>
          </cell>
          <cell r="D346">
            <v>37622</v>
          </cell>
          <cell r="E346">
            <v>20993.96</v>
          </cell>
          <cell r="F346">
            <v>44522</v>
          </cell>
          <cell r="G346">
            <v>40</v>
          </cell>
          <cell r="H346" t="str">
            <v>0</v>
          </cell>
          <cell r="I346" t="str">
            <v>0</v>
          </cell>
          <cell r="J346">
            <v>40</v>
          </cell>
          <cell r="K346">
            <v>26713</v>
          </cell>
          <cell r="L346">
            <v>27000</v>
          </cell>
        </row>
        <row r="347">
          <cell r="B347" t="str">
            <v>ООС-0104-000673</v>
          </cell>
          <cell r="C347" t="str">
            <v>Сис.блк+монит.VL400DT</v>
          </cell>
          <cell r="D347">
            <v>37622</v>
          </cell>
          <cell r="E347">
            <v>10797.03</v>
          </cell>
          <cell r="F347">
            <v>34380</v>
          </cell>
          <cell r="G347">
            <v>40</v>
          </cell>
          <cell r="H347" t="str">
            <v>0</v>
          </cell>
          <cell r="I347" t="str">
            <v>0</v>
          </cell>
          <cell r="J347">
            <v>40</v>
          </cell>
          <cell r="K347">
            <v>20628</v>
          </cell>
          <cell r="L347">
            <v>21000</v>
          </cell>
        </row>
        <row r="348">
          <cell r="B348" t="str">
            <v>ООС-0104-000674</v>
          </cell>
          <cell r="C348" t="str">
            <v>Ноутбук Satell 2805-S302</v>
          </cell>
          <cell r="D348">
            <v>37622</v>
          </cell>
          <cell r="E348">
            <v>29306.04</v>
          </cell>
          <cell r="F348">
            <v>13875</v>
          </cell>
          <cell r="G348">
            <v>40</v>
          </cell>
          <cell r="H348" t="str">
            <v>0</v>
          </cell>
          <cell r="I348" t="str">
            <v>0</v>
          </cell>
          <cell r="J348">
            <v>40</v>
          </cell>
          <cell r="K348">
            <v>8325</v>
          </cell>
          <cell r="L348">
            <v>8300</v>
          </cell>
        </row>
        <row r="349">
          <cell r="B349" t="str">
            <v>ООС-0104-000699</v>
          </cell>
          <cell r="C349" t="str">
            <v>Принтер HP LJ1100</v>
          </cell>
          <cell r="D349">
            <v>37622</v>
          </cell>
          <cell r="E349">
            <v>4115.6899999999996</v>
          </cell>
          <cell r="F349">
            <v>8653</v>
          </cell>
          <cell r="G349">
            <v>40</v>
          </cell>
          <cell r="H349" t="str">
            <v>0</v>
          </cell>
          <cell r="I349" t="str">
            <v>0</v>
          </cell>
          <cell r="J349">
            <v>40</v>
          </cell>
          <cell r="K349">
            <v>5192</v>
          </cell>
          <cell r="L349">
            <v>5200</v>
          </cell>
        </row>
        <row r="350">
          <cell r="B350" t="str">
            <v>ООС-0104-000616</v>
          </cell>
          <cell r="C350" t="str">
            <v>Сис. Блок Brio BA</v>
          </cell>
          <cell r="D350">
            <v>37622</v>
          </cell>
          <cell r="E350">
            <v>18145.919999999998</v>
          </cell>
          <cell r="F350">
            <v>5879</v>
          </cell>
          <cell r="G350">
            <v>40</v>
          </cell>
          <cell r="H350" t="str">
            <v>0</v>
          </cell>
          <cell r="I350" t="str">
            <v>0</v>
          </cell>
          <cell r="J350">
            <v>40</v>
          </cell>
          <cell r="K350">
            <v>3527</v>
          </cell>
          <cell r="L350">
            <v>3500</v>
          </cell>
        </row>
        <row r="351">
          <cell r="B351" t="str">
            <v>ООС-0104-000620</v>
          </cell>
          <cell r="C351" t="str">
            <v>Принтер HPLJ1100</v>
          </cell>
          <cell r="D351">
            <v>37622</v>
          </cell>
          <cell r="E351">
            <v>6369.71</v>
          </cell>
          <cell r="F351">
            <v>8653</v>
          </cell>
          <cell r="G351">
            <v>40</v>
          </cell>
          <cell r="H351" t="str">
            <v>0</v>
          </cell>
          <cell r="I351" t="str">
            <v>0</v>
          </cell>
          <cell r="J351">
            <v>40</v>
          </cell>
          <cell r="K351">
            <v>5192</v>
          </cell>
          <cell r="L351">
            <v>5200</v>
          </cell>
        </row>
        <row r="352">
          <cell r="B352" t="str">
            <v>ООС-014-000404</v>
          </cell>
          <cell r="C352" t="str">
            <v>Ксерокс Rex-Rotaru</v>
          </cell>
          <cell r="D352">
            <v>36948</v>
          </cell>
          <cell r="E352">
            <v>91009.27</v>
          </cell>
          <cell r="F352">
            <v>28807</v>
          </cell>
          <cell r="G352">
            <v>77</v>
          </cell>
          <cell r="H352" t="str">
            <v>0</v>
          </cell>
          <cell r="I352" t="str">
            <v>0</v>
          </cell>
          <cell r="J352">
            <v>77</v>
          </cell>
          <cell r="K352">
            <v>6626</v>
          </cell>
          <cell r="L352">
            <v>6600</v>
          </cell>
        </row>
        <row r="353">
          <cell r="B353" t="str">
            <v>ООС-0104-000415</v>
          </cell>
          <cell r="C353" t="str">
            <v>Батарейка UPS1000</v>
          </cell>
          <cell r="D353">
            <v>36979</v>
          </cell>
          <cell r="E353">
            <v>0</v>
          </cell>
          <cell r="F353">
            <v>4421</v>
          </cell>
          <cell r="G353">
            <v>75</v>
          </cell>
          <cell r="H353" t="str">
            <v>0</v>
          </cell>
          <cell r="I353" t="str">
            <v>0</v>
          </cell>
          <cell r="J353">
            <v>75</v>
          </cell>
          <cell r="K353">
            <v>1105</v>
          </cell>
          <cell r="L353">
            <v>1100</v>
          </cell>
        </row>
        <row r="354">
          <cell r="B354" t="str">
            <v>ООС-0104-000432</v>
          </cell>
          <cell r="C354" t="str">
            <v>Масленный радиатор</v>
          </cell>
          <cell r="D354">
            <v>37000</v>
          </cell>
          <cell r="E354">
            <v>0</v>
          </cell>
          <cell r="F354">
            <v>1851</v>
          </cell>
          <cell r="G354">
            <v>52</v>
          </cell>
          <cell r="H354" t="str">
            <v>0</v>
          </cell>
          <cell r="I354" t="str">
            <v>0</v>
          </cell>
          <cell r="J354">
            <v>52</v>
          </cell>
          <cell r="K354">
            <v>888</v>
          </cell>
          <cell r="L354">
            <v>890</v>
          </cell>
        </row>
        <row r="355">
          <cell r="B355" t="str">
            <v>ООС-0104-000433</v>
          </cell>
          <cell r="C355" t="str">
            <v>Масленный радиатор</v>
          </cell>
          <cell r="D355">
            <v>37000</v>
          </cell>
          <cell r="E355">
            <v>0</v>
          </cell>
          <cell r="F355">
            <v>1851</v>
          </cell>
          <cell r="G355">
            <v>52</v>
          </cell>
          <cell r="H355" t="str">
            <v>0</v>
          </cell>
          <cell r="I355" t="str">
            <v>0</v>
          </cell>
          <cell r="J355">
            <v>52</v>
          </cell>
          <cell r="K355">
            <v>888</v>
          </cell>
          <cell r="L355">
            <v>890</v>
          </cell>
        </row>
        <row r="356">
          <cell r="B356" t="str">
            <v>ООС-0104-000434</v>
          </cell>
          <cell r="C356" t="str">
            <v>Масленный радиатор</v>
          </cell>
          <cell r="D356">
            <v>37000</v>
          </cell>
          <cell r="E356">
            <v>0</v>
          </cell>
          <cell r="F356">
            <v>1851</v>
          </cell>
          <cell r="G356">
            <v>52</v>
          </cell>
          <cell r="H356" t="str">
            <v>0</v>
          </cell>
          <cell r="I356" t="str">
            <v>0</v>
          </cell>
          <cell r="J356">
            <v>52</v>
          </cell>
          <cell r="K356">
            <v>888</v>
          </cell>
          <cell r="L356">
            <v>890</v>
          </cell>
        </row>
        <row r="357">
          <cell r="B357" t="str">
            <v>ООС-0104-000435</v>
          </cell>
          <cell r="C357" t="str">
            <v>Масленный радиатор</v>
          </cell>
          <cell r="D357">
            <v>37000</v>
          </cell>
          <cell r="E357">
            <v>0</v>
          </cell>
          <cell r="F357">
            <v>1851</v>
          </cell>
          <cell r="G357">
            <v>52</v>
          </cell>
          <cell r="H357" t="str">
            <v>0</v>
          </cell>
          <cell r="I357" t="str">
            <v>0</v>
          </cell>
          <cell r="J357">
            <v>52</v>
          </cell>
          <cell r="K357">
            <v>888</v>
          </cell>
          <cell r="L357">
            <v>890</v>
          </cell>
        </row>
        <row r="358">
          <cell r="B358" t="str">
            <v>ООС-0104-000436</v>
          </cell>
          <cell r="C358" t="str">
            <v>Масленный радиатор</v>
          </cell>
          <cell r="D358">
            <v>37000</v>
          </cell>
          <cell r="E358">
            <v>0</v>
          </cell>
          <cell r="F358">
            <v>1851</v>
          </cell>
          <cell r="G358">
            <v>52</v>
          </cell>
          <cell r="H358" t="str">
            <v>0</v>
          </cell>
          <cell r="I358" t="str">
            <v>0</v>
          </cell>
          <cell r="J358">
            <v>52</v>
          </cell>
          <cell r="K358">
            <v>888</v>
          </cell>
          <cell r="L358">
            <v>890</v>
          </cell>
        </row>
        <row r="359">
          <cell r="B359" t="str">
            <v>ООС-0104-000437</v>
          </cell>
          <cell r="C359" t="str">
            <v>Масленный радиатор</v>
          </cell>
          <cell r="D359">
            <v>37000</v>
          </cell>
          <cell r="E359">
            <v>0</v>
          </cell>
          <cell r="F359">
            <v>1851</v>
          </cell>
          <cell r="G359">
            <v>52</v>
          </cell>
          <cell r="H359" t="str">
            <v>0</v>
          </cell>
          <cell r="I359" t="str">
            <v>0</v>
          </cell>
          <cell r="J359">
            <v>52</v>
          </cell>
          <cell r="K359">
            <v>888</v>
          </cell>
          <cell r="L359">
            <v>890</v>
          </cell>
        </row>
        <row r="360">
          <cell r="B360" t="str">
            <v>ООС-0104-000349</v>
          </cell>
          <cell r="C360" t="str">
            <v>Установка для запуска</v>
          </cell>
          <cell r="D360">
            <v>36868</v>
          </cell>
          <cell r="E360">
            <v>10925.2</v>
          </cell>
          <cell r="F360">
            <v>23636</v>
          </cell>
          <cell r="G360">
            <v>58</v>
          </cell>
          <cell r="H360" t="str">
            <v>0</v>
          </cell>
          <cell r="I360" t="str">
            <v>0</v>
          </cell>
          <cell r="J360">
            <v>58</v>
          </cell>
          <cell r="K360">
            <v>9927</v>
          </cell>
          <cell r="L360">
            <v>9900</v>
          </cell>
        </row>
        <row r="361">
          <cell r="B361" t="str">
            <v>ООС-0104-000370</v>
          </cell>
          <cell r="C361" t="str">
            <v>Аппарат копп. MB5615</v>
          </cell>
          <cell r="D361">
            <v>36861</v>
          </cell>
          <cell r="E361">
            <v>18498.27</v>
          </cell>
          <cell r="F361">
            <v>28807</v>
          </cell>
          <cell r="G361">
            <v>82</v>
          </cell>
          <cell r="H361" t="str">
            <v>0</v>
          </cell>
          <cell r="I361" t="str">
            <v>0</v>
          </cell>
          <cell r="J361">
            <v>82</v>
          </cell>
          <cell r="K361">
            <v>5185</v>
          </cell>
          <cell r="L361">
            <v>5200</v>
          </cell>
        </row>
        <row r="362">
          <cell r="B362" t="str">
            <v>ООС-0104-000470</v>
          </cell>
          <cell r="C362" t="str">
            <v>Тел. Ericsson T28</v>
          </cell>
          <cell r="D362">
            <v>37235</v>
          </cell>
          <cell r="E362">
            <v>0</v>
          </cell>
          <cell r="F362">
            <v>3644</v>
          </cell>
          <cell r="G362">
            <v>77</v>
          </cell>
          <cell r="H362" t="str">
            <v>0</v>
          </cell>
          <cell r="I362" t="str">
            <v>0</v>
          </cell>
          <cell r="J362">
            <v>77</v>
          </cell>
          <cell r="K362">
            <v>838</v>
          </cell>
          <cell r="L362">
            <v>840</v>
          </cell>
        </row>
        <row r="363">
          <cell r="B363" t="str">
            <v>ООС-0105-000427</v>
          </cell>
          <cell r="C363" t="str">
            <v>Шкаф ШРМ 22</v>
          </cell>
          <cell r="D363">
            <v>36986</v>
          </cell>
          <cell r="E363">
            <v>0</v>
          </cell>
          <cell r="F363">
            <v>4119</v>
          </cell>
          <cell r="G363">
            <v>17</v>
          </cell>
          <cell r="H363" t="str">
            <v>0</v>
          </cell>
          <cell r="I363" t="str">
            <v>0</v>
          </cell>
          <cell r="J363">
            <v>17</v>
          </cell>
          <cell r="K363">
            <v>3419</v>
          </cell>
          <cell r="L363">
            <v>3400</v>
          </cell>
        </row>
        <row r="364">
          <cell r="B364" t="str">
            <v>ООС-0105-000428</v>
          </cell>
          <cell r="C364" t="str">
            <v>Шкаф ШРМ 14</v>
          </cell>
          <cell r="D364">
            <v>36986</v>
          </cell>
          <cell r="E364">
            <v>0</v>
          </cell>
          <cell r="F364">
            <v>2818</v>
          </cell>
          <cell r="G364">
            <v>17</v>
          </cell>
          <cell r="H364" t="str">
            <v>0</v>
          </cell>
          <cell r="I364" t="str">
            <v>0</v>
          </cell>
          <cell r="J364">
            <v>17</v>
          </cell>
          <cell r="K364">
            <v>2339</v>
          </cell>
          <cell r="L364">
            <v>2300</v>
          </cell>
        </row>
        <row r="365">
          <cell r="B365" t="str">
            <v>ООС-0105-000429</v>
          </cell>
          <cell r="C365" t="str">
            <v>Шкаф ШРМ 14</v>
          </cell>
          <cell r="D365">
            <v>36986</v>
          </cell>
          <cell r="E365">
            <v>0</v>
          </cell>
          <cell r="F365">
            <v>2818</v>
          </cell>
          <cell r="G365">
            <v>17</v>
          </cell>
          <cell r="H365" t="str">
            <v>0</v>
          </cell>
          <cell r="I365" t="str">
            <v>0</v>
          </cell>
          <cell r="J365">
            <v>17</v>
          </cell>
          <cell r="K365">
            <v>2339</v>
          </cell>
          <cell r="L365">
            <v>2300</v>
          </cell>
        </row>
        <row r="366">
          <cell r="B366" t="str">
            <v>ООС-0105-000430</v>
          </cell>
          <cell r="C366" t="str">
            <v>Шкаф ШРМ 14</v>
          </cell>
          <cell r="D366">
            <v>36986</v>
          </cell>
          <cell r="E366">
            <v>0</v>
          </cell>
          <cell r="F366">
            <v>2818</v>
          </cell>
          <cell r="G366">
            <v>17</v>
          </cell>
          <cell r="H366" t="str">
            <v>0</v>
          </cell>
          <cell r="I366" t="str">
            <v>0</v>
          </cell>
          <cell r="J366">
            <v>17</v>
          </cell>
          <cell r="K366">
            <v>2339</v>
          </cell>
          <cell r="L366">
            <v>2300</v>
          </cell>
        </row>
        <row r="367">
          <cell r="B367" t="str">
            <v>ООС-0105-000431</v>
          </cell>
          <cell r="C367" t="str">
            <v>Шкаф ШРМ 14</v>
          </cell>
          <cell r="D367">
            <v>36986</v>
          </cell>
          <cell r="E367">
            <v>0</v>
          </cell>
          <cell r="F367">
            <v>2818</v>
          </cell>
          <cell r="G367">
            <v>17</v>
          </cell>
          <cell r="H367" t="str">
            <v>0</v>
          </cell>
          <cell r="I367" t="str">
            <v>0</v>
          </cell>
          <cell r="J367">
            <v>17</v>
          </cell>
          <cell r="K367">
            <v>2339</v>
          </cell>
          <cell r="L367">
            <v>2300</v>
          </cell>
        </row>
        <row r="368">
          <cell r="B368" t="str">
            <v>ООС-0104-000202</v>
          </cell>
          <cell r="C368" t="str">
            <v>Сис. Блок Vei7</v>
          </cell>
          <cell r="D368">
            <v>36636</v>
          </cell>
          <cell r="E368">
            <v>5278.49</v>
          </cell>
          <cell r="F368">
            <v>16955</v>
          </cell>
          <cell r="G368">
            <v>93</v>
          </cell>
          <cell r="H368" t="str">
            <v>0</v>
          </cell>
          <cell r="I368" t="str">
            <v>0</v>
          </cell>
          <cell r="J368">
            <v>93</v>
          </cell>
          <cell r="K368">
            <v>1187</v>
          </cell>
          <cell r="L368">
            <v>1200</v>
          </cell>
        </row>
        <row r="369">
          <cell r="B369" t="str">
            <v>ООС-0104-000203</v>
          </cell>
          <cell r="C369" t="str">
            <v>Сис. Блок Vei7</v>
          </cell>
          <cell r="D369">
            <v>36636</v>
          </cell>
          <cell r="E369">
            <v>5278.49</v>
          </cell>
          <cell r="F369">
            <v>16955</v>
          </cell>
          <cell r="G369">
            <v>93</v>
          </cell>
          <cell r="H369" t="str">
            <v>0</v>
          </cell>
          <cell r="I369" t="str">
            <v>0</v>
          </cell>
          <cell r="J369">
            <v>93</v>
          </cell>
          <cell r="K369">
            <v>1187</v>
          </cell>
          <cell r="L369">
            <v>1200</v>
          </cell>
        </row>
        <row r="370">
          <cell r="B370" t="str">
            <v>ООС-0104-000212</v>
          </cell>
          <cell r="C370" t="str">
            <v>Сис. Блок Vei7</v>
          </cell>
          <cell r="D370">
            <v>36675</v>
          </cell>
          <cell r="E370">
            <v>5245.26</v>
          </cell>
          <cell r="F370">
            <v>16955</v>
          </cell>
          <cell r="G370">
            <v>92</v>
          </cell>
          <cell r="H370" t="str">
            <v>0</v>
          </cell>
          <cell r="I370" t="str">
            <v>0</v>
          </cell>
          <cell r="J370">
            <v>92</v>
          </cell>
          <cell r="K370">
            <v>1356</v>
          </cell>
          <cell r="L370">
            <v>1400</v>
          </cell>
        </row>
        <row r="371">
          <cell r="B371" t="str">
            <v>ООС-0104-000213</v>
          </cell>
          <cell r="C371" t="str">
            <v>Сис. Блок Vei7</v>
          </cell>
          <cell r="D371">
            <v>36675</v>
          </cell>
          <cell r="E371">
            <v>5245.26</v>
          </cell>
          <cell r="F371">
            <v>16955</v>
          </cell>
          <cell r="G371">
            <v>92</v>
          </cell>
          <cell r="H371" t="str">
            <v>0</v>
          </cell>
          <cell r="I371" t="str">
            <v>0</v>
          </cell>
          <cell r="J371">
            <v>92</v>
          </cell>
          <cell r="K371">
            <v>1356</v>
          </cell>
          <cell r="L371">
            <v>1400</v>
          </cell>
        </row>
        <row r="372">
          <cell r="B372" t="str">
            <v>ООС-0104-000401</v>
          </cell>
          <cell r="C372" t="str">
            <v>Принтер HPLj4000</v>
          </cell>
          <cell r="D372">
            <v>37377</v>
          </cell>
          <cell r="E372">
            <v>0</v>
          </cell>
          <cell r="F372">
            <v>27043</v>
          </cell>
          <cell r="G372">
            <v>53</v>
          </cell>
          <cell r="H372" t="str">
            <v>0</v>
          </cell>
          <cell r="I372" t="str">
            <v>0</v>
          </cell>
          <cell r="J372">
            <v>53</v>
          </cell>
          <cell r="K372">
            <v>12710</v>
          </cell>
          <cell r="L372">
            <v>13000</v>
          </cell>
        </row>
        <row r="373">
          <cell r="B373" t="str">
            <v>ООС-0104-000581</v>
          </cell>
          <cell r="C373" t="str">
            <v>Монитор VSE70</v>
          </cell>
          <cell r="D373">
            <v>37377</v>
          </cell>
          <cell r="E373">
            <v>2575.7399999999998</v>
          </cell>
          <cell r="F373">
            <v>8138</v>
          </cell>
          <cell r="G373">
            <v>53</v>
          </cell>
          <cell r="H373" t="str">
            <v>0</v>
          </cell>
          <cell r="I373" t="str">
            <v>0</v>
          </cell>
          <cell r="J373">
            <v>53</v>
          </cell>
          <cell r="K373">
            <v>3825</v>
          </cell>
          <cell r="L373">
            <v>3800</v>
          </cell>
        </row>
        <row r="374">
          <cell r="B374" t="str">
            <v>ООС-0104-000776</v>
          </cell>
          <cell r="C374" t="str">
            <v>сис. Блок VI410</v>
          </cell>
          <cell r="D374">
            <v>37681</v>
          </cell>
          <cell r="E374">
            <v>12253.65</v>
          </cell>
          <cell r="F374">
            <v>19894</v>
          </cell>
          <cell r="G374">
            <v>37</v>
          </cell>
          <cell r="H374" t="str">
            <v>0</v>
          </cell>
          <cell r="I374" t="str">
            <v>0</v>
          </cell>
          <cell r="J374">
            <v>37</v>
          </cell>
          <cell r="K374">
            <v>12533</v>
          </cell>
          <cell r="L374">
            <v>13000</v>
          </cell>
        </row>
        <row r="375">
          <cell r="B375" t="str">
            <v>ООС-0104-000781</v>
          </cell>
          <cell r="C375" t="str">
            <v>Сис.блок+монит. VL400</v>
          </cell>
          <cell r="D375">
            <v>37681</v>
          </cell>
          <cell r="E375">
            <v>19331.580000000002</v>
          </cell>
          <cell r="F375">
            <v>17190</v>
          </cell>
          <cell r="G375">
            <v>37</v>
          </cell>
          <cell r="H375" t="str">
            <v>0</v>
          </cell>
          <cell r="I375" t="str">
            <v>0</v>
          </cell>
          <cell r="J375">
            <v>37</v>
          </cell>
          <cell r="K375">
            <v>10830</v>
          </cell>
          <cell r="L375">
            <v>11000</v>
          </cell>
        </row>
        <row r="376">
          <cell r="B376" t="str">
            <v>ООС-0104-000854</v>
          </cell>
          <cell r="C376" t="str">
            <v>Ноутбук Satell 2805-S503</v>
          </cell>
          <cell r="D376">
            <v>37742</v>
          </cell>
          <cell r="E376">
            <v>29402.05</v>
          </cell>
          <cell r="F376">
            <v>60710</v>
          </cell>
          <cell r="G376">
            <v>33</v>
          </cell>
          <cell r="H376" t="str">
            <v>0</v>
          </cell>
          <cell r="I376" t="str">
            <v>0</v>
          </cell>
          <cell r="J376">
            <v>33</v>
          </cell>
          <cell r="K376">
            <v>40676</v>
          </cell>
          <cell r="L376">
            <v>41000</v>
          </cell>
        </row>
        <row r="377">
          <cell r="B377" t="str">
            <v>ООС-0105-000087</v>
          </cell>
          <cell r="C377" t="str">
            <v xml:space="preserve">Стол рабочий </v>
          </cell>
          <cell r="D377">
            <v>36223</v>
          </cell>
          <cell r="E377">
            <v>0</v>
          </cell>
          <cell r="F377">
            <v>15756</v>
          </cell>
          <cell r="G377">
            <v>83</v>
          </cell>
          <cell r="H377" t="str">
            <v>0</v>
          </cell>
          <cell r="I377" t="str">
            <v>0</v>
          </cell>
          <cell r="J377">
            <v>83</v>
          </cell>
          <cell r="K377">
            <v>2679</v>
          </cell>
          <cell r="L377">
            <v>2700</v>
          </cell>
        </row>
        <row r="378">
          <cell r="B378" t="str">
            <v>ООС-0104-001056</v>
          </cell>
          <cell r="C378" t="str">
            <v>Сис. Блок HPD230m</v>
          </cell>
          <cell r="D378">
            <v>38244</v>
          </cell>
          <cell r="E378">
            <v>10703.69</v>
          </cell>
          <cell r="F378">
            <v>19377</v>
          </cell>
          <cell r="G378">
            <v>7</v>
          </cell>
          <cell r="H378" t="str">
            <v>0</v>
          </cell>
          <cell r="I378" t="str">
            <v>0</v>
          </cell>
          <cell r="J378">
            <v>7</v>
          </cell>
          <cell r="K378">
            <v>18021</v>
          </cell>
          <cell r="L378">
            <v>18000</v>
          </cell>
        </row>
        <row r="379">
          <cell r="B379" t="str">
            <v>ООС-0104-001062</v>
          </cell>
          <cell r="C379" t="str">
            <v>Сис. Блок HPD230m</v>
          </cell>
          <cell r="D379">
            <v>38244</v>
          </cell>
          <cell r="E379">
            <v>10703.69</v>
          </cell>
          <cell r="F379">
            <v>19377</v>
          </cell>
          <cell r="G379">
            <v>7</v>
          </cell>
          <cell r="H379" t="str">
            <v>0</v>
          </cell>
          <cell r="I379" t="str">
            <v>0</v>
          </cell>
          <cell r="J379">
            <v>7</v>
          </cell>
          <cell r="K379">
            <v>18021</v>
          </cell>
          <cell r="L379">
            <v>18000</v>
          </cell>
        </row>
        <row r="380">
          <cell r="B380" t="str">
            <v>ООС-0104-001061</v>
          </cell>
          <cell r="C380" t="str">
            <v>Сис. Блок HPD230m</v>
          </cell>
          <cell r="D380">
            <v>38244</v>
          </cell>
          <cell r="E380">
            <v>10703.69</v>
          </cell>
          <cell r="F380">
            <v>19377</v>
          </cell>
          <cell r="G380">
            <v>7</v>
          </cell>
          <cell r="H380" t="str">
            <v>0</v>
          </cell>
          <cell r="I380" t="str">
            <v>0</v>
          </cell>
          <cell r="J380">
            <v>7</v>
          </cell>
          <cell r="K380">
            <v>18021</v>
          </cell>
          <cell r="L380">
            <v>18000</v>
          </cell>
        </row>
        <row r="381">
          <cell r="B381" t="str">
            <v>ООС-0104-001060</v>
          </cell>
          <cell r="C381" t="str">
            <v>Сис. Блок HPD230m</v>
          </cell>
          <cell r="D381">
            <v>38244</v>
          </cell>
          <cell r="E381">
            <v>10703.69</v>
          </cell>
          <cell r="F381">
            <v>19377</v>
          </cell>
          <cell r="G381">
            <v>7</v>
          </cell>
          <cell r="H381" t="str">
            <v>0</v>
          </cell>
          <cell r="I381" t="str">
            <v>0</v>
          </cell>
          <cell r="J381">
            <v>7</v>
          </cell>
          <cell r="K381">
            <v>18021</v>
          </cell>
          <cell r="L381">
            <v>18000</v>
          </cell>
        </row>
        <row r="382">
          <cell r="B382" t="str">
            <v>ООС-0104-000752</v>
          </cell>
          <cell r="C382" t="str">
            <v>Тепловая пушка</v>
          </cell>
          <cell r="D382">
            <v>37622</v>
          </cell>
          <cell r="E382">
            <v>0</v>
          </cell>
          <cell r="F382">
            <v>25397</v>
          </cell>
          <cell r="G382">
            <v>29</v>
          </cell>
          <cell r="H382" t="str">
            <v>0</v>
          </cell>
          <cell r="I382" t="str">
            <v>0</v>
          </cell>
          <cell r="J382">
            <v>29</v>
          </cell>
          <cell r="K382">
            <v>18032</v>
          </cell>
          <cell r="L382">
            <v>18000</v>
          </cell>
        </row>
        <row r="383">
          <cell r="B383" t="str">
            <v>ООС-0105-000377</v>
          </cell>
          <cell r="C383" t="str">
            <v>Карта мира</v>
          </cell>
          <cell r="D383">
            <v>37377</v>
          </cell>
          <cell r="E383">
            <v>0</v>
          </cell>
          <cell r="F383">
            <v>25903</v>
          </cell>
          <cell r="G383">
            <v>97</v>
          </cell>
          <cell r="H383" t="str">
            <v>0</v>
          </cell>
          <cell r="I383" t="str">
            <v>0</v>
          </cell>
          <cell r="J383">
            <v>97</v>
          </cell>
          <cell r="K383">
            <v>777</v>
          </cell>
          <cell r="L383">
            <v>780</v>
          </cell>
        </row>
        <row r="384">
          <cell r="B384" t="str">
            <v>ООС-0104-000389</v>
          </cell>
          <cell r="C384" t="str">
            <v>Монитор VeiG553</v>
          </cell>
          <cell r="D384">
            <v>37377</v>
          </cell>
          <cell r="E384">
            <v>0</v>
          </cell>
          <cell r="F384">
            <v>4021</v>
          </cell>
          <cell r="G384">
            <v>53</v>
          </cell>
          <cell r="H384" t="str">
            <v>0</v>
          </cell>
          <cell r="I384" t="str">
            <v>0</v>
          </cell>
          <cell r="J384">
            <v>53</v>
          </cell>
          <cell r="K384">
            <v>1890</v>
          </cell>
          <cell r="L384">
            <v>1900</v>
          </cell>
        </row>
        <row r="385">
          <cell r="B385" t="str">
            <v>ООС-0104-000396</v>
          </cell>
          <cell r="C385" t="str">
            <v>Сис. Блок VEi8</v>
          </cell>
          <cell r="D385">
            <v>37377</v>
          </cell>
          <cell r="E385">
            <v>0</v>
          </cell>
          <cell r="F385">
            <v>24009</v>
          </cell>
          <cell r="G385">
            <v>53</v>
          </cell>
          <cell r="H385" t="str">
            <v>0</v>
          </cell>
          <cell r="I385" t="str">
            <v>0</v>
          </cell>
          <cell r="J385">
            <v>53</v>
          </cell>
          <cell r="K385">
            <v>11284</v>
          </cell>
          <cell r="L385">
            <v>11000</v>
          </cell>
        </row>
        <row r="386">
          <cell r="B386" t="str">
            <v>ООС-0104-000458</v>
          </cell>
          <cell r="C386" t="str">
            <v>Тел Panasonic KT-ST15</v>
          </cell>
          <cell r="D386">
            <v>37165</v>
          </cell>
          <cell r="E386">
            <v>0</v>
          </cell>
          <cell r="F386">
            <v>5096</v>
          </cell>
          <cell r="G386">
            <v>65</v>
          </cell>
          <cell r="H386" t="str">
            <v>0</v>
          </cell>
          <cell r="I386" t="str">
            <v>0</v>
          </cell>
          <cell r="J386">
            <v>65</v>
          </cell>
          <cell r="K386">
            <v>1784</v>
          </cell>
          <cell r="L386">
            <v>1800</v>
          </cell>
        </row>
        <row r="387">
          <cell r="E387">
            <v>12045014.41</v>
          </cell>
          <cell r="F387">
            <v>13518395</v>
          </cell>
          <cell r="K387">
            <v>7710716</v>
          </cell>
          <cell r="L387">
            <v>7716420</v>
          </cell>
        </row>
      </sheetData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ед"/>
      <sheetName val="Графики"/>
      <sheetName val="Выручка"/>
      <sheetName val="Баланс "/>
      <sheetName val="накопл активов"/>
      <sheetName val="доходный"/>
      <sheetName val="дивиденды"/>
      <sheetName val="МДДП"/>
      <sheetName val="Сведение"/>
      <sheetName val="исход-итог"/>
      <sheetName val=" Assumptions"/>
      <sheetName val="Параметры"/>
      <sheetName val="General"/>
      <sheetName val="восст"/>
      <sheetName val="Общая"/>
      <sheetName val="ЛитБ"/>
      <sheetName val="Исходные"/>
      <sheetName val="общий"/>
      <sheetName val="ТЭП гостиница"/>
      <sheetName val="общие сведения"/>
      <sheetName val="Исх_данные"/>
      <sheetName val="расчет"/>
      <sheetName val="Баланс_"/>
      <sheetName val="накопл_активов"/>
      <sheetName val="_Assumptions"/>
      <sheetName val="RENT ROLL"/>
      <sheetName val="COVER"/>
      <sheetName val="разряд"/>
      <sheetName val="затр_подх"/>
      <sheetName val="общие данные"/>
      <sheetName val="ИТОГО"/>
      <sheetName val="ЗАТРАТЫ"/>
      <sheetName val="Лист1"/>
      <sheetName val="Баз предп"/>
      <sheetName val="Use"/>
      <sheetName val="Кредит"/>
      <sheetName val="Резервы"/>
      <sheetName val="Ставка Д"/>
      <sheetName val="const"/>
      <sheetName val="АС_Офис"/>
      <sheetName val="Текущие цены"/>
      <sheetName val="рабочий"/>
      <sheetName val="окраска"/>
      <sheetName val="Balance Sheet"/>
      <sheetName val="общее"/>
      <sheetName val="Списки"/>
      <sheetName val="Master Inputs Start Here"/>
      <sheetName val="HBS initial"/>
      <sheetName val="Дхд 639,3"/>
      <sheetName val="Справочники"/>
      <sheetName val="05г."/>
      <sheetName val="База"/>
      <sheetName val="финплан стр.п."/>
      <sheetName val="Метод остатка"/>
      <sheetName val="Константы"/>
      <sheetName val="рын"/>
      <sheetName val="износ"/>
      <sheetName val="Лист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1"/>
      <sheetName val="Стоим._стр-ва"/>
      <sheetName val="Мес"/>
      <sheetName val="Comp1"/>
      <sheetName val="НПО Винт"/>
      <sheetName val="Sheet2"/>
      <sheetName val="Сибнефть"/>
      <sheetName val="Усинск_Роснефть"/>
      <sheetName val="себ"/>
      <sheetName val="ф2"/>
      <sheetName val="ф1"/>
      <sheetName val="дебкред"/>
      <sheetName val="ФХД"/>
      <sheetName val="actives"/>
      <sheetName val="13,40 Авансы_получ"/>
      <sheetName val="ПРОГНОЗ_1"/>
      <sheetName val="Начало"/>
      <sheetName val="вспомогательный_списки"/>
      <sheetName val="Дебиторка"/>
      <sheetName val="Калькуляции"/>
      <sheetName val="Rates"/>
      <sheetName val="КалкТов"/>
      <sheetName val="Май"/>
      <sheetName val="Список"/>
      <sheetName val="Аналоги аренда"/>
      <sheetName val="Excel_BuiltIn_Print_Area_5"/>
      <sheetName val="СПРБ - СТАРЫЙ"/>
      <sheetName val="dk"/>
      <sheetName val="Настройка"/>
      <sheetName val="Содержание"/>
      <sheetName val="аренда"/>
      <sheetName val="расчет общий"/>
      <sheetName val="Resume"/>
      <sheetName val="Инд"/>
      <sheetName val="план"/>
    </sheetNames>
    <sheetDataSet>
      <sheetData sheetId="0" refreshError="1">
        <row r="2">
          <cell r="B2">
            <v>365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"/>
      <sheetName val="данные для графиков (2)"/>
      <sheetName val="Диаграмма2"/>
      <sheetName val="Диаграмма3"/>
      <sheetName val="Диаграмма1"/>
      <sheetName val="данные для графиков"/>
      <sheetName val="табл.6.1"/>
      <sheetName val="сопост.- новое (2)"/>
      <sheetName val="табл 6.2"/>
      <sheetName val="капит.вложения"/>
      <sheetName val="экспл.внутр."/>
      <sheetName val="экспл.внеш"/>
      <sheetName val="экспл.комб."/>
      <sheetName val="поток внутр"/>
      <sheetName val="поток внеш."/>
      <sheetName val="поток комб."/>
      <sheetName val="поток комб. "/>
      <sheetName val="доход внутр"/>
      <sheetName val="доход внеш"/>
      <sheetName val="доход комб."/>
      <sheetName val="индекс дох.внутр."/>
      <sheetName val="инд.дох.внеш."/>
      <sheetName val="инд.дох.комб."/>
      <sheetName val="IRR-внутр.рынок"/>
      <sheetName val="IRR-внешний рын."/>
      <sheetName val="IRR-комбин.рын."/>
      <sheetName val="Анализ чувст-ти внутр.р"/>
      <sheetName val="Анализ чувст-ти внеш.р"/>
      <sheetName val="Диаграмма4"/>
      <sheetName val="Анализ чувст-ти комбин.р"/>
      <sheetName val="кредит внутр."/>
      <sheetName val="кредит внеш"/>
      <sheetName val="кредит комбин"/>
      <sheetName val="Лист1"/>
      <sheetName val="Параметры"/>
      <sheetName val="све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ДС_год"/>
      <sheetName val="БДДС_АПК"/>
      <sheetName val="ФОТ"/>
      <sheetName val="подстилка"/>
      <sheetName val="зоо. вет.преп."/>
      <sheetName val="Ветерин.усл."/>
      <sheetName val="Эл.Эн.2009"/>
      <sheetName val="БИ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F "/>
      <sheetName val="СFсокр"/>
      <sheetName val="себест-ть"/>
      <sheetName val="СF"/>
      <sheetName val="ПланФакт"/>
      <sheetName val="Реализация"/>
      <sheetName val="СводныйХаркон"/>
      <sheetName val="СвЭксперт"/>
      <sheetName val="СводБал-кс"/>
      <sheetName val="СводЛион"/>
      <sheetName val="СвХаркон"/>
      <sheetName val="ГПБИ GPBI РСЭМ"/>
      <sheetName val="СводныйЭксперт"/>
      <sheetName val="ГПБИ_GPBI_РСЭМ"/>
      <sheetName val="СвЛион"/>
      <sheetName val="СвБал-кс"/>
      <sheetName val="ГLoans"/>
      <sheetName val="ПКLoans"/>
      <sheetName val="распрХаркон"/>
      <sheetName val="Харкон субконто"/>
      <sheetName val="субкХаркон"/>
      <sheetName val="распрЭксперт"/>
      <sheetName val="распр РСЭМ"/>
      <sheetName val="распрЛион"/>
      <sheetName val="Валют.сч.Эксперт"/>
      <sheetName val="р.с Эскперт"/>
      <sheetName val="РСЭМ"/>
      <sheetName val="р.с. Бал-кс"/>
      <sheetName val="распрБал-кс"/>
      <sheetName val="постГПБИ"/>
      <sheetName val="выпл ГПБИ"/>
      <sheetName val="постGPBI"/>
      <sheetName val="выплGPBI"/>
      <sheetName val="CF ГПБИ"/>
      <sheetName val="Харкон"/>
      <sheetName val="Реализ_исх"/>
      <sheetName val="экспертПланUSD"/>
      <sheetName val="ЭкспертПланруб"/>
      <sheetName val="ЭкспертПланЕвро"/>
      <sheetName val="ХарконПланруб"/>
      <sheetName val="ХарконПланЕвро"/>
      <sheetName val="ХарконПланДолл"/>
      <sheetName val="КУРС"/>
      <sheetName val="справочники"/>
      <sheetName val="Лист3"/>
      <sheetName val="свед"/>
      <sheetName val="Лион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>
        <row r="1">
          <cell r="A1" t="str">
            <v>Дата</v>
          </cell>
        </row>
        <row r="3">
          <cell r="A3" t="str">
            <v>прогноз</v>
          </cell>
        </row>
        <row r="4">
          <cell r="A4">
            <v>37895</v>
          </cell>
        </row>
        <row r="5">
          <cell r="A5">
            <v>37896</v>
          </cell>
        </row>
        <row r="6">
          <cell r="A6">
            <v>37897</v>
          </cell>
        </row>
        <row r="7">
          <cell r="A7">
            <v>37898</v>
          </cell>
        </row>
        <row r="8">
          <cell r="A8">
            <v>37899</v>
          </cell>
        </row>
        <row r="9">
          <cell r="A9">
            <v>37900</v>
          </cell>
        </row>
        <row r="10">
          <cell r="A10">
            <v>37901</v>
          </cell>
        </row>
        <row r="11">
          <cell r="A11">
            <v>37902</v>
          </cell>
        </row>
        <row r="12">
          <cell r="A12">
            <v>37903</v>
          </cell>
        </row>
        <row r="13">
          <cell r="A13">
            <v>37904</v>
          </cell>
        </row>
        <row r="14">
          <cell r="A14">
            <v>37905</v>
          </cell>
        </row>
        <row r="15">
          <cell r="A15">
            <v>37906</v>
          </cell>
        </row>
        <row r="16">
          <cell r="A16">
            <v>37907</v>
          </cell>
        </row>
        <row r="17">
          <cell r="A17">
            <v>37908</v>
          </cell>
        </row>
        <row r="18">
          <cell r="A18">
            <v>37909</v>
          </cell>
        </row>
        <row r="19">
          <cell r="A19">
            <v>37910</v>
          </cell>
        </row>
        <row r="20">
          <cell r="A20">
            <v>37911</v>
          </cell>
        </row>
        <row r="21">
          <cell r="A21">
            <v>37912</v>
          </cell>
        </row>
        <row r="22">
          <cell r="A22">
            <v>37913</v>
          </cell>
        </row>
        <row r="23">
          <cell r="A23">
            <v>37914</v>
          </cell>
        </row>
        <row r="24">
          <cell r="A24">
            <v>37915</v>
          </cell>
        </row>
        <row r="25">
          <cell r="A25">
            <v>37916</v>
          </cell>
        </row>
        <row r="26">
          <cell r="A26">
            <v>37917</v>
          </cell>
        </row>
        <row r="27">
          <cell r="A27">
            <v>37918</v>
          </cell>
        </row>
        <row r="28">
          <cell r="A28">
            <v>37919</v>
          </cell>
        </row>
        <row r="29">
          <cell r="A29">
            <v>37920</v>
          </cell>
        </row>
        <row r="30">
          <cell r="A30">
            <v>37921</v>
          </cell>
        </row>
        <row r="31">
          <cell r="A31">
            <v>37922</v>
          </cell>
        </row>
        <row r="32">
          <cell r="A32">
            <v>37923</v>
          </cell>
        </row>
        <row r="33">
          <cell r="A33">
            <v>37924</v>
          </cell>
        </row>
        <row r="34">
          <cell r="A34">
            <v>37925</v>
          </cell>
        </row>
        <row r="35">
          <cell r="A35">
            <v>37926</v>
          </cell>
        </row>
        <row r="36">
          <cell r="A36">
            <v>37927</v>
          </cell>
        </row>
        <row r="37">
          <cell r="A37">
            <v>37928</v>
          </cell>
        </row>
        <row r="38">
          <cell r="A38">
            <v>37929</v>
          </cell>
        </row>
        <row r="39">
          <cell r="A39">
            <v>37930</v>
          </cell>
        </row>
        <row r="40">
          <cell r="A40">
            <v>37931</v>
          </cell>
        </row>
        <row r="41">
          <cell r="A41">
            <v>37932</v>
          </cell>
        </row>
        <row r="42">
          <cell r="A42">
            <v>37933</v>
          </cell>
        </row>
        <row r="43">
          <cell r="A43">
            <v>37934</v>
          </cell>
        </row>
        <row r="44">
          <cell r="A44">
            <v>37935</v>
          </cell>
        </row>
        <row r="45">
          <cell r="A45">
            <v>37936</v>
          </cell>
        </row>
        <row r="46">
          <cell r="A46">
            <v>37937</v>
          </cell>
        </row>
        <row r="47">
          <cell r="A47">
            <v>37938</v>
          </cell>
        </row>
        <row r="48">
          <cell r="A48">
            <v>37939</v>
          </cell>
        </row>
        <row r="49">
          <cell r="A49">
            <v>37940</v>
          </cell>
        </row>
        <row r="50">
          <cell r="A50">
            <v>37941</v>
          </cell>
        </row>
        <row r="51">
          <cell r="A51">
            <v>37942</v>
          </cell>
        </row>
        <row r="52">
          <cell r="A52">
            <v>37943</v>
          </cell>
        </row>
        <row r="53">
          <cell r="A53">
            <v>37944</v>
          </cell>
        </row>
        <row r="54">
          <cell r="A54">
            <v>37945</v>
          </cell>
        </row>
        <row r="55">
          <cell r="A55">
            <v>37946</v>
          </cell>
        </row>
        <row r="56">
          <cell r="A56">
            <v>37947</v>
          </cell>
        </row>
        <row r="57">
          <cell r="A57">
            <v>37948</v>
          </cell>
        </row>
        <row r="58">
          <cell r="A58">
            <v>37949</v>
          </cell>
        </row>
        <row r="59">
          <cell r="A59">
            <v>37950</v>
          </cell>
        </row>
        <row r="60">
          <cell r="A60">
            <v>37951</v>
          </cell>
        </row>
        <row r="61">
          <cell r="A61">
            <v>37952</v>
          </cell>
        </row>
        <row r="62">
          <cell r="A62">
            <v>37953</v>
          </cell>
        </row>
        <row r="63">
          <cell r="A63">
            <v>37954</v>
          </cell>
        </row>
        <row r="64">
          <cell r="A64">
            <v>37955</v>
          </cell>
        </row>
        <row r="65">
          <cell r="A65">
            <v>37956</v>
          </cell>
        </row>
        <row r="66">
          <cell r="A66">
            <v>37957</v>
          </cell>
        </row>
        <row r="67">
          <cell r="A67">
            <v>37958</v>
          </cell>
        </row>
        <row r="68">
          <cell r="A68">
            <v>37959</v>
          </cell>
        </row>
        <row r="69">
          <cell r="A69">
            <v>37960</v>
          </cell>
        </row>
        <row r="70">
          <cell r="A70">
            <v>37961</v>
          </cell>
        </row>
        <row r="71">
          <cell r="A71">
            <v>37962</v>
          </cell>
        </row>
        <row r="72">
          <cell r="A72">
            <v>37963</v>
          </cell>
        </row>
        <row r="73">
          <cell r="A73">
            <v>37964</v>
          </cell>
        </row>
        <row r="74">
          <cell r="A74">
            <v>37965</v>
          </cell>
        </row>
        <row r="75">
          <cell r="A75">
            <v>37966</v>
          </cell>
        </row>
        <row r="76">
          <cell r="A76">
            <v>37967</v>
          </cell>
        </row>
        <row r="77">
          <cell r="A77">
            <v>37968</v>
          </cell>
        </row>
        <row r="78">
          <cell r="A78">
            <v>37969</v>
          </cell>
        </row>
        <row r="79">
          <cell r="A79">
            <v>37970</v>
          </cell>
        </row>
        <row r="80">
          <cell r="A80">
            <v>37971</v>
          </cell>
        </row>
        <row r="81">
          <cell r="A81">
            <v>37972</v>
          </cell>
        </row>
        <row r="82">
          <cell r="A82">
            <v>37973</v>
          </cell>
        </row>
        <row r="83">
          <cell r="A83">
            <v>37974</v>
          </cell>
        </row>
        <row r="84">
          <cell r="A84">
            <v>37975</v>
          </cell>
        </row>
        <row r="85">
          <cell r="A85">
            <v>37976</v>
          </cell>
        </row>
        <row r="86">
          <cell r="A86">
            <v>37977</v>
          </cell>
        </row>
        <row r="87">
          <cell r="A87">
            <v>37978</v>
          </cell>
        </row>
        <row r="88">
          <cell r="A88">
            <v>37979</v>
          </cell>
        </row>
        <row r="89">
          <cell r="A89">
            <v>37980</v>
          </cell>
        </row>
        <row r="90">
          <cell r="A90">
            <v>37981</v>
          </cell>
        </row>
        <row r="91">
          <cell r="A91">
            <v>37982</v>
          </cell>
        </row>
        <row r="92">
          <cell r="A92">
            <v>37983</v>
          </cell>
        </row>
        <row r="93">
          <cell r="A93">
            <v>37984</v>
          </cell>
        </row>
        <row r="94">
          <cell r="A94">
            <v>37985</v>
          </cell>
        </row>
        <row r="95">
          <cell r="A95">
            <v>37986</v>
          </cell>
        </row>
        <row r="96">
          <cell r="A96">
            <v>37987</v>
          </cell>
        </row>
        <row r="97">
          <cell r="A97">
            <v>37988</v>
          </cell>
        </row>
        <row r="98">
          <cell r="A98">
            <v>37989</v>
          </cell>
        </row>
        <row r="99">
          <cell r="A99">
            <v>37990</v>
          </cell>
        </row>
        <row r="100">
          <cell r="A100">
            <v>37991</v>
          </cell>
        </row>
        <row r="101">
          <cell r="A101">
            <v>37992</v>
          </cell>
        </row>
        <row r="102">
          <cell r="A102">
            <v>37993</v>
          </cell>
        </row>
        <row r="103">
          <cell r="A103">
            <v>37994</v>
          </cell>
        </row>
        <row r="104">
          <cell r="A104">
            <v>37995</v>
          </cell>
        </row>
        <row r="105">
          <cell r="A105">
            <v>37996</v>
          </cell>
        </row>
        <row r="106">
          <cell r="A106">
            <v>37997</v>
          </cell>
        </row>
        <row r="107">
          <cell r="A107">
            <v>37998</v>
          </cell>
        </row>
        <row r="108">
          <cell r="A108">
            <v>37999</v>
          </cell>
        </row>
        <row r="109">
          <cell r="A109">
            <v>38000</v>
          </cell>
        </row>
        <row r="110">
          <cell r="A110">
            <v>38001</v>
          </cell>
        </row>
        <row r="111">
          <cell r="A111">
            <v>38002</v>
          </cell>
        </row>
        <row r="112">
          <cell r="A112">
            <v>38003</v>
          </cell>
        </row>
        <row r="113">
          <cell r="A113">
            <v>38004</v>
          </cell>
        </row>
        <row r="114">
          <cell r="A114">
            <v>38005</v>
          </cell>
        </row>
        <row r="115">
          <cell r="A115">
            <v>38006</v>
          </cell>
        </row>
        <row r="116">
          <cell r="A116">
            <v>38007</v>
          </cell>
        </row>
        <row r="117">
          <cell r="A117">
            <v>38008</v>
          </cell>
        </row>
        <row r="118">
          <cell r="A118">
            <v>38009</v>
          </cell>
        </row>
        <row r="119">
          <cell r="A119">
            <v>38010</v>
          </cell>
        </row>
        <row r="120">
          <cell r="A120">
            <v>38011</v>
          </cell>
        </row>
        <row r="121">
          <cell r="A121">
            <v>38012</v>
          </cell>
        </row>
        <row r="122">
          <cell r="A122">
            <v>38013</v>
          </cell>
        </row>
        <row r="123">
          <cell r="A123">
            <v>38014</v>
          </cell>
        </row>
        <row r="124">
          <cell r="A124">
            <v>38015</v>
          </cell>
        </row>
        <row r="125">
          <cell r="A125">
            <v>38016</v>
          </cell>
        </row>
        <row r="126">
          <cell r="A126">
            <v>38017</v>
          </cell>
        </row>
        <row r="127">
          <cell r="A127">
            <v>38018</v>
          </cell>
        </row>
        <row r="128">
          <cell r="A128">
            <v>38019</v>
          </cell>
        </row>
        <row r="129">
          <cell r="A129">
            <v>38020</v>
          </cell>
        </row>
        <row r="130">
          <cell r="A130">
            <v>38021</v>
          </cell>
        </row>
        <row r="131">
          <cell r="A131">
            <v>38022</v>
          </cell>
        </row>
        <row r="132">
          <cell r="A132">
            <v>38023</v>
          </cell>
        </row>
        <row r="133">
          <cell r="A133">
            <v>38024</v>
          </cell>
        </row>
        <row r="134">
          <cell r="A134">
            <v>38025</v>
          </cell>
        </row>
        <row r="135">
          <cell r="A135">
            <v>38026</v>
          </cell>
        </row>
        <row r="136">
          <cell r="A136">
            <v>38027</v>
          </cell>
        </row>
        <row r="137">
          <cell r="A137">
            <v>38028</v>
          </cell>
        </row>
        <row r="138">
          <cell r="A138">
            <v>38029</v>
          </cell>
        </row>
        <row r="139">
          <cell r="A139">
            <v>38030</v>
          </cell>
        </row>
        <row r="140">
          <cell r="A140">
            <v>38031</v>
          </cell>
        </row>
        <row r="141">
          <cell r="A141">
            <v>38032</v>
          </cell>
        </row>
        <row r="142">
          <cell r="A142">
            <v>38033</v>
          </cell>
        </row>
        <row r="143">
          <cell r="A143">
            <v>38034</v>
          </cell>
        </row>
        <row r="144">
          <cell r="A144">
            <v>38035</v>
          </cell>
        </row>
        <row r="145">
          <cell r="A145">
            <v>38036</v>
          </cell>
        </row>
        <row r="146">
          <cell r="A146">
            <v>38037</v>
          </cell>
        </row>
        <row r="147">
          <cell r="A147">
            <v>38038</v>
          </cell>
        </row>
        <row r="148">
          <cell r="A148">
            <v>38039</v>
          </cell>
        </row>
        <row r="149">
          <cell r="A149">
            <v>38040</v>
          </cell>
        </row>
        <row r="150">
          <cell r="A150">
            <v>38041</v>
          </cell>
        </row>
        <row r="151">
          <cell r="A151">
            <v>38042</v>
          </cell>
        </row>
        <row r="152">
          <cell r="A152">
            <v>38043</v>
          </cell>
        </row>
        <row r="153">
          <cell r="A153">
            <v>38044</v>
          </cell>
        </row>
        <row r="154">
          <cell r="A154">
            <v>38045</v>
          </cell>
        </row>
        <row r="155">
          <cell r="A155">
            <v>38046</v>
          </cell>
        </row>
        <row r="156">
          <cell r="A156">
            <v>38047</v>
          </cell>
        </row>
        <row r="157">
          <cell r="A157">
            <v>38048</v>
          </cell>
        </row>
        <row r="158">
          <cell r="A158">
            <v>38049</v>
          </cell>
        </row>
        <row r="159">
          <cell r="A159">
            <v>38050</v>
          </cell>
        </row>
        <row r="160">
          <cell r="A160">
            <v>38051</v>
          </cell>
        </row>
        <row r="161">
          <cell r="A161">
            <v>38052</v>
          </cell>
        </row>
        <row r="162">
          <cell r="A162">
            <v>38053</v>
          </cell>
        </row>
        <row r="163">
          <cell r="A163">
            <v>38054</v>
          </cell>
        </row>
        <row r="164">
          <cell r="A164">
            <v>38055</v>
          </cell>
        </row>
        <row r="165">
          <cell r="A165">
            <v>38056</v>
          </cell>
        </row>
        <row r="166">
          <cell r="A166">
            <v>38057</v>
          </cell>
        </row>
        <row r="167">
          <cell r="A167">
            <v>38058</v>
          </cell>
        </row>
        <row r="168">
          <cell r="A168">
            <v>38059</v>
          </cell>
        </row>
        <row r="169">
          <cell r="A169">
            <v>38060</v>
          </cell>
        </row>
        <row r="170">
          <cell r="A170">
            <v>38061</v>
          </cell>
        </row>
        <row r="171">
          <cell r="A171">
            <v>38062</v>
          </cell>
        </row>
        <row r="172">
          <cell r="A172">
            <v>38063</v>
          </cell>
        </row>
        <row r="173">
          <cell r="A173">
            <v>38064</v>
          </cell>
        </row>
        <row r="174">
          <cell r="A174">
            <v>38065</v>
          </cell>
        </row>
        <row r="175">
          <cell r="A175">
            <v>38066</v>
          </cell>
        </row>
        <row r="176">
          <cell r="A176">
            <v>38067</v>
          </cell>
        </row>
        <row r="177">
          <cell r="A177">
            <v>38068</v>
          </cell>
        </row>
        <row r="178">
          <cell r="A178">
            <v>38069</v>
          </cell>
        </row>
        <row r="179">
          <cell r="A179">
            <v>38070</v>
          </cell>
        </row>
        <row r="180">
          <cell r="A180">
            <v>38071</v>
          </cell>
        </row>
        <row r="181">
          <cell r="A181">
            <v>38072</v>
          </cell>
        </row>
        <row r="182">
          <cell r="A182">
            <v>38073</v>
          </cell>
        </row>
        <row r="183">
          <cell r="A183">
            <v>38074</v>
          </cell>
        </row>
        <row r="184">
          <cell r="A184">
            <v>38075</v>
          </cell>
        </row>
        <row r="185">
          <cell r="A185">
            <v>38076</v>
          </cell>
        </row>
        <row r="186">
          <cell r="A186">
            <v>38077</v>
          </cell>
        </row>
        <row r="187">
          <cell r="A187">
            <v>38078</v>
          </cell>
        </row>
        <row r="188">
          <cell r="A188">
            <v>38079</v>
          </cell>
        </row>
        <row r="189">
          <cell r="A189">
            <v>38080</v>
          </cell>
        </row>
        <row r="190">
          <cell r="A190">
            <v>38081</v>
          </cell>
        </row>
        <row r="191">
          <cell r="A191">
            <v>38082</v>
          </cell>
        </row>
        <row r="192">
          <cell r="A192">
            <v>38083</v>
          </cell>
        </row>
        <row r="193">
          <cell r="A193">
            <v>38084</v>
          </cell>
        </row>
        <row r="194">
          <cell r="A194">
            <v>38085</v>
          </cell>
        </row>
        <row r="195">
          <cell r="A195">
            <v>38086</v>
          </cell>
        </row>
        <row r="196">
          <cell r="A196">
            <v>38087</v>
          </cell>
        </row>
        <row r="197">
          <cell r="A197">
            <v>38088</v>
          </cell>
        </row>
        <row r="198">
          <cell r="A198">
            <v>38089</v>
          </cell>
        </row>
        <row r="199">
          <cell r="A199">
            <v>38090</v>
          </cell>
        </row>
        <row r="200">
          <cell r="A200">
            <v>38091</v>
          </cell>
        </row>
        <row r="201">
          <cell r="A201">
            <v>38092</v>
          </cell>
        </row>
        <row r="202">
          <cell r="A202">
            <v>38093</v>
          </cell>
        </row>
        <row r="203">
          <cell r="A203">
            <v>38094</v>
          </cell>
        </row>
        <row r="204">
          <cell r="A204">
            <v>38095</v>
          </cell>
        </row>
        <row r="205">
          <cell r="A205">
            <v>38096</v>
          </cell>
        </row>
        <row r="206">
          <cell r="A206">
            <v>38097</v>
          </cell>
        </row>
        <row r="207">
          <cell r="A207">
            <v>38098</v>
          </cell>
        </row>
        <row r="208">
          <cell r="A208">
            <v>38099</v>
          </cell>
        </row>
        <row r="209">
          <cell r="A209">
            <v>38100</v>
          </cell>
        </row>
        <row r="210">
          <cell r="A210">
            <v>38101</v>
          </cell>
        </row>
        <row r="211">
          <cell r="A211">
            <v>38102</v>
          </cell>
        </row>
        <row r="212">
          <cell r="A212">
            <v>38103</v>
          </cell>
        </row>
        <row r="213">
          <cell r="A213">
            <v>38104</v>
          </cell>
        </row>
        <row r="214">
          <cell r="A214">
            <v>38105</v>
          </cell>
        </row>
        <row r="215">
          <cell r="A215">
            <v>38106</v>
          </cell>
        </row>
        <row r="216">
          <cell r="A216">
            <v>38107</v>
          </cell>
        </row>
        <row r="217">
          <cell r="A217">
            <v>38108</v>
          </cell>
        </row>
        <row r="218">
          <cell r="A218">
            <v>38109</v>
          </cell>
        </row>
        <row r="219">
          <cell r="A219">
            <v>38110</v>
          </cell>
        </row>
        <row r="220">
          <cell r="A220">
            <v>38111</v>
          </cell>
        </row>
        <row r="221">
          <cell r="A221">
            <v>38112</v>
          </cell>
        </row>
        <row r="222">
          <cell r="A222">
            <v>38113</v>
          </cell>
        </row>
        <row r="223">
          <cell r="A223">
            <v>38114</v>
          </cell>
        </row>
        <row r="224">
          <cell r="A224">
            <v>38115</v>
          </cell>
        </row>
        <row r="225">
          <cell r="A225">
            <v>38116</v>
          </cell>
        </row>
        <row r="226">
          <cell r="A226">
            <v>38117</v>
          </cell>
        </row>
        <row r="227">
          <cell r="A227">
            <v>38118</v>
          </cell>
        </row>
        <row r="228">
          <cell r="A228">
            <v>38119</v>
          </cell>
        </row>
        <row r="229">
          <cell r="A229">
            <v>38120</v>
          </cell>
        </row>
        <row r="230">
          <cell r="A230">
            <v>38121</v>
          </cell>
        </row>
        <row r="231">
          <cell r="A231">
            <v>38122</v>
          </cell>
        </row>
        <row r="232">
          <cell r="A232">
            <v>38123</v>
          </cell>
        </row>
        <row r="233">
          <cell r="A233">
            <v>38124</v>
          </cell>
        </row>
        <row r="234">
          <cell r="A234">
            <v>38125</v>
          </cell>
        </row>
        <row r="235">
          <cell r="A235">
            <v>38126</v>
          </cell>
        </row>
        <row r="236">
          <cell r="A236">
            <v>38127</v>
          </cell>
        </row>
        <row r="237">
          <cell r="A237">
            <v>38128</v>
          </cell>
        </row>
        <row r="238">
          <cell r="A238">
            <v>38129</v>
          </cell>
        </row>
        <row r="239">
          <cell r="A239">
            <v>38130</v>
          </cell>
        </row>
        <row r="240">
          <cell r="A240">
            <v>38131</v>
          </cell>
        </row>
        <row r="241">
          <cell r="A241">
            <v>38132</v>
          </cell>
        </row>
        <row r="242">
          <cell r="A242">
            <v>38133</v>
          </cell>
        </row>
        <row r="243">
          <cell r="A243">
            <v>38134</v>
          </cell>
        </row>
        <row r="244">
          <cell r="A244">
            <v>38135</v>
          </cell>
        </row>
        <row r="245">
          <cell r="A245">
            <v>38136</v>
          </cell>
        </row>
        <row r="246">
          <cell r="A246">
            <v>38137</v>
          </cell>
        </row>
        <row r="247">
          <cell r="A247">
            <v>38138</v>
          </cell>
        </row>
        <row r="248">
          <cell r="A248">
            <v>38139</v>
          </cell>
        </row>
        <row r="249">
          <cell r="A249">
            <v>38140</v>
          </cell>
        </row>
        <row r="250">
          <cell r="A250">
            <v>38141</v>
          </cell>
        </row>
        <row r="251">
          <cell r="A251">
            <v>38142</v>
          </cell>
        </row>
        <row r="252">
          <cell r="A252">
            <v>38143</v>
          </cell>
        </row>
        <row r="253">
          <cell r="A253">
            <v>38144</v>
          </cell>
        </row>
        <row r="254">
          <cell r="A254">
            <v>38145</v>
          </cell>
        </row>
        <row r="255">
          <cell r="A255">
            <v>38146</v>
          </cell>
        </row>
        <row r="256">
          <cell r="A256">
            <v>38147</v>
          </cell>
        </row>
        <row r="257">
          <cell r="A257">
            <v>38148</v>
          </cell>
        </row>
        <row r="258">
          <cell r="A258">
            <v>38149</v>
          </cell>
        </row>
        <row r="259">
          <cell r="A259">
            <v>38150</v>
          </cell>
        </row>
        <row r="260">
          <cell r="A260">
            <v>38151</v>
          </cell>
        </row>
        <row r="261">
          <cell r="A261">
            <v>38152</v>
          </cell>
        </row>
        <row r="262">
          <cell r="A262">
            <v>38153</v>
          </cell>
        </row>
        <row r="263">
          <cell r="A263">
            <v>38154</v>
          </cell>
        </row>
        <row r="264">
          <cell r="A264">
            <v>38155</v>
          </cell>
        </row>
        <row r="265">
          <cell r="A265">
            <v>38156</v>
          </cell>
        </row>
        <row r="266">
          <cell r="A266">
            <v>38157</v>
          </cell>
        </row>
        <row r="267">
          <cell r="A267">
            <v>38158</v>
          </cell>
        </row>
        <row r="268">
          <cell r="A268">
            <v>38159</v>
          </cell>
        </row>
        <row r="269">
          <cell r="A269">
            <v>38160</v>
          </cell>
        </row>
        <row r="270">
          <cell r="A270">
            <v>38161</v>
          </cell>
        </row>
        <row r="271">
          <cell r="A271">
            <v>38162</v>
          </cell>
        </row>
        <row r="272">
          <cell r="A272">
            <v>38163</v>
          </cell>
        </row>
        <row r="273">
          <cell r="A273">
            <v>38164</v>
          </cell>
        </row>
        <row r="274">
          <cell r="A274">
            <v>38165</v>
          </cell>
        </row>
        <row r="275">
          <cell r="A275">
            <v>38166</v>
          </cell>
        </row>
        <row r="276">
          <cell r="A276">
            <v>38167</v>
          </cell>
        </row>
        <row r="277">
          <cell r="A277">
            <v>38168</v>
          </cell>
        </row>
        <row r="278">
          <cell r="A278">
            <v>38169</v>
          </cell>
        </row>
        <row r="279">
          <cell r="A279">
            <v>38170</v>
          </cell>
        </row>
        <row r="280">
          <cell r="A280">
            <v>38171</v>
          </cell>
        </row>
        <row r="281">
          <cell r="A281">
            <v>38172</v>
          </cell>
        </row>
        <row r="282">
          <cell r="A282">
            <v>38173</v>
          </cell>
        </row>
        <row r="283">
          <cell r="A283">
            <v>38174</v>
          </cell>
        </row>
        <row r="284">
          <cell r="A284">
            <v>38175</v>
          </cell>
        </row>
        <row r="285">
          <cell r="A285">
            <v>38176</v>
          </cell>
        </row>
        <row r="286">
          <cell r="A286">
            <v>38177</v>
          </cell>
        </row>
        <row r="287">
          <cell r="A287">
            <v>38178</v>
          </cell>
        </row>
        <row r="288">
          <cell r="A288">
            <v>38179</v>
          </cell>
        </row>
        <row r="289">
          <cell r="A289">
            <v>38180</v>
          </cell>
        </row>
        <row r="290">
          <cell r="A290">
            <v>38181</v>
          </cell>
        </row>
        <row r="291">
          <cell r="A291">
            <v>38182</v>
          </cell>
        </row>
        <row r="292">
          <cell r="A292">
            <v>38183</v>
          </cell>
        </row>
        <row r="293">
          <cell r="A293">
            <v>38184</v>
          </cell>
        </row>
        <row r="294">
          <cell r="A294">
            <v>38185</v>
          </cell>
        </row>
        <row r="295">
          <cell r="A295">
            <v>38186</v>
          </cell>
        </row>
        <row r="296">
          <cell r="A296">
            <v>38187</v>
          </cell>
        </row>
        <row r="297">
          <cell r="A297">
            <v>38188</v>
          </cell>
        </row>
        <row r="298">
          <cell r="A298">
            <v>38189</v>
          </cell>
        </row>
        <row r="299">
          <cell r="A299">
            <v>38190</v>
          </cell>
        </row>
        <row r="300">
          <cell r="A300">
            <v>38191</v>
          </cell>
        </row>
        <row r="301">
          <cell r="A301">
            <v>38192</v>
          </cell>
        </row>
        <row r="302">
          <cell r="A302">
            <v>38193</v>
          </cell>
        </row>
        <row r="303">
          <cell r="A303">
            <v>38194</v>
          </cell>
        </row>
        <row r="304">
          <cell r="A304">
            <v>38195</v>
          </cell>
        </row>
        <row r="305">
          <cell r="A305">
            <v>38196</v>
          </cell>
        </row>
        <row r="306">
          <cell r="A306">
            <v>38197</v>
          </cell>
        </row>
        <row r="307">
          <cell r="A307">
            <v>38198</v>
          </cell>
        </row>
        <row r="308">
          <cell r="A308">
            <v>38199</v>
          </cell>
        </row>
        <row r="309">
          <cell r="A309">
            <v>38200</v>
          </cell>
        </row>
        <row r="310">
          <cell r="A310">
            <v>38201</v>
          </cell>
        </row>
        <row r="311">
          <cell r="A311">
            <v>38202</v>
          </cell>
        </row>
        <row r="312">
          <cell r="A312">
            <v>38203</v>
          </cell>
        </row>
        <row r="313">
          <cell r="A313">
            <v>38204</v>
          </cell>
        </row>
        <row r="314">
          <cell r="A314">
            <v>38205</v>
          </cell>
        </row>
        <row r="315">
          <cell r="A315">
            <v>38206</v>
          </cell>
        </row>
        <row r="316">
          <cell r="A316">
            <v>38207</v>
          </cell>
        </row>
        <row r="317">
          <cell r="A317">
            <v>38208</v>
          </cell>
        </row>
        <row r="318">
          <cell r="A318">
            <v>38209</v>
          </cell>
        </row>
        <row r="319">
          <cell r="A319">
            <v>38210</v>
          </cell>
        </row>
        <row r="320">
          <cell r="A320">
            <v>38211</v>
          </cell>
        </row>
        <row r="321">
          <cell r="A321">
            <v>38212</v>
          </cell>
        </row>
        <row r="322">
          <cell r="A322">
            <v>38213</v>
          </cell>
        </row>
        <row r="323">
          <cell r="A323">
            <v>38214</v>
          </cell>
        </row>
        <row r="324">
          <cell r="A324">
            <v>38215</v>
          </cell>
        </row>
        <row r="325">
          <cell r="A325">
            <v>38216</v>
          </cell>
        </row>
        <row r="326">
          <cell r="A326">
            <v>38217</v>
          </cell>
        </row>
        <row r="327">
          <cell r="A327">
            <v>38218</v>
          </cell>
        </row>
        <row r="328">
          <cell r="A328">
            <v>38219</v>
          </cell>
        </row>
        <row r="329">
          <cell r="A329">
            <v>38220</v>
          </cell>
        </row>
        <row r="330">
          <cell r="A330">
            <v>38221</v>
          </cell>
        </row>
        <row r="331">
          <cell r="A331">
            <v>38222</v>
          </cell>
        </row>
        <row r="332">
          <cell r="A332">
            <v>38223</v>
          </cell>
        </row>
        <row r="333">
          <cell r="A333">
            <v>38224</v>
          </cell>
        </row>
        <row r="334">
          <cell r="A334">
            <v>38225</v>
          </cell>
        </row>
        <row r="335">
          <cell r="A335">
            <v>38226</v>
          </cell>
        </row>
        <row r="336">
          <cell r="A336">
            <v>38227</v>
          </cell>
        </row>
        <row r="337">
          <cell r="A337">
            <v>38228</v>
          </cell>
        </row>
        <row r="338">
          <cell r="A338">
            <v>38229</v>
          </cell>
        </row>
        <row r="339">
          <cell r="A339">
            <v>38230</v>
          </cell>
        </row>
        <row r="340">
          <cell r="A340">
            <v>38231</v>
          </cell>
        </row>
        <row r="341">
          <cell r="A341">
            <v>38232</v>
          </cell>
        </row>
        <row r="342">
          <cell r="A342">
            <v>38233</v>
          </cell>
        </row>
        <row r="343">
          <cell r="A343">
            <v>38234</v>
          </cell>
        </row>
        <row r="344">
          <cell r="A344">
            <v>38235</v>
          </cell>
        </row>
        <row r="345">
          <cell r="A345">
            <v>38236</v>
          </cell>
        </row>
        <row r="346">
          <cell r="A346">
            <v>38237</v>
          </cell>
        </row>
        <row r="347">
          <cell r="A347">
            <v>38238</v>
          </cell>
        </row>
        <row r="348">
          <cell r="A348">
            <v>38239</v>
          </cell>
        </row>
        <row r="349">
          <cell r="A349">
            <v>38240</v>
          </cell>
        </row>
        <row r="350">
          <cell r="A350">
            <v>38241</v>
          </cell>
        </row>
        <row r="351">
          <cell r="A351">
            <v>38242</v>
          </cell>
        </row>
        <row r="352">
          <cell r="A352">
            <v>38243</v>
          </cell>
        </row>
        <row r="353">
          <cell r="A353">
            <v>38244</v>
          </cell>
        </row>
        <row r="354">
          <cell r="A354">
            <v>38245</v>
          </cell>
        </row>
        <row r="355">
          <cell r="A355">
            <v>38246</v>
          </cell>
        </row>
        <row r="356">
          <cell r="A356">
            <v>38247</v>
          </cell>
        </row>
        <row r="357">
          <cell r="A357">
            <v>38248</v>
          </cell>
        </row>
        <row r="358">
          <cell r="A358">
            <v>38249</v>
          </cell>
        </row>
        <row r="359">
          <cell r="A359">
            <v>38250</v>
          </cell>
        </row>
        <row r="360">
          <cell r="A360">
            <v>38251</v>
          </cell>
        </row>
        <row r="361">
          <cell r="A361">
            <v>38252</v>
          </cell>
        </row>
        <row r="362">
          <cell r="A362">
            <v>38253</v>
          </cell>
        </row>
        <row r="363">
          <cell r="A363">
            <v>38254</v>
          </cell>
        </row>
        <row r="364">
          <cell r="A364">
            <v>38255</v>
          </cell>
        </row>
        <row r="365">
          <cell r="A365">
            <v>38256</v>
          </cell>
        </row>
        <row r="366">
          <cell r="A366">
            <v>38257</v>
          </cell>
        </row>
        <row r="367">
          <cell r="A367">
            <v>38258</v>
          </cell>
        </row>
        <row r="368">
          <cell r="A368">
            <v>38259</v>
          </cell>
        </row>
        <row r="369">
          <cell r="A369">
            <v>38260</v>
          </cell>
        </row>
        <row r="370">
          <cell r="A370">
            <v>38261</v>
          </cell>
        </row>
        <row r="371">
          <cell r="A371">
            <v>38262</v>
          </cell>
        </row>
        <row r="372">
          <cell r="A372">
            <v>38263</v>
          </cell>
        </row>
        <row r="373">
          <cell r="A373">
            <v>38264</v>
          </cell>
        </row>
        <row r="374">
          <cell r="A374">
            <v>38265</v>
          </cell>
        </row>
        <row r="375">
          <cell r="A375">
            <v>38266</v>
          </cell>
        </row>
        <row r="376">
          <cell r="A376">
            <v>38267</v>
          </cell>
        </row>
        <row r="377">
          <cell r="A377">
            <v>38268</v>
          </cell>
        </row>
        <row r="378">
          <cell r="A378">
            <v>38269</v>
          </cell>
        </row>
        <row r="379">
          <cell r="A379">
            <v>38270</v>
          </cell>
        </row>
        <row r="380">
          <cell r="A380">
            <v>38271</v>
          </cell>
        </row>
        <row r="381">
          <cell r="A381">
            <v>38272</v>
          </cell>
        </row>
        <row r="382">
          <cell r="A382">
            <v>38273</v>
          </cell>
        </row>
        <row r="383">
          <cell r="A383">
            <v>38274</v>
          </cell>
        </row>
        <row r="384">
          <cell r="A384">
            <v>38275</v>
          </cell>
        </row>
        <row r="385">
          <cell r="A385">
            <v>38276</v>
          </cell>
        </row>
        <row r="386">
          <cell r="A386">
            <v>38277</v>
          </cell>
        </row>
        <row r="387">
          <cell r="A387">
            <v>38278</v>
          </cell>
        </row>
        <row r="388">
          <cell r="A388">
            <v>38279</v>
          </cell>
        </row>
        <row r="389">
          <cell r="A389">
            <v>38280</v>
          </cell>
        </row>
        <row r="390">
          <cell r="A390">
            <v>38281</v>
          </cell>
        </row>
        <row r="391">
          <cell r="A391">
            <v>38282</v>
          </cell>
        </row>
        <row r="392">
          <cell r="A392">
            <v>38283</v>
          </cell>
        </row>
        <row r="393">
          <cell r="A393">
            <v>38284</v>
          </cell>
        </row>
        <row r="394">
          <cell r="A394">
            <v>38285</v>
          </cell>
        </row>
        <row r="395">
          <cell r="A395">
            <v>38286</v>
          </cell>
        </row>
        <row r="396">
          <cell r="A396">
            <v>38287</v>
          </cell>
        </row>
        <row r="397">
          <cell r="A397">
            <v>38288</v>
          </cell>
        </row>
        <row r="398">
          <cell r="A398">
            <v>38289</v>
          </cell>
        </row>
        <row r="399">
          <cell r="A399">
            <v>38290</v>
          </cell>
        </row>
        <row r="400">
          <cell r="A400">
            <v>38291</v>
          </cell>
        </row>
        <row r="401">
          <cell r="A401">
            <v>38292</v>
          </cell>
        </row>
        <row r="402">
          <cell r="A402">
            <v>38293</v>
          </cell>
        </row>
        <row r="403">
          <cell r="A403">
            <v>38294</v>
          </cell>
        </row>
        <row r="404">
          <cell r="A404">
            <v>38295</v>
          </cell>
        </row>
        <row r="405">
          <cell r="A405">
            <v>38296</v>
          </cell>
        </row>
        <row r="406">
          <cell r="A406">
            <v>38297</v>
          </cell>
        </row>
        <row r="407">
          <cell r="A407">
            <v>38298</v>
          </cell>
        </row>
        <row r="408">
          <cell r="A408">
            <v>38299</v>
          </cell>
        </row>
        <row r="409">
          <cell r="A409">
            <v>38300</v>
          </cell>
        </row>
        <row r="410">
          <cell r="A410">
            <v>38301</v>
          </cell>
        </row>
        <row r="411">
          <cell r="A411">
            <v>38302</v>
          </cell>
        </row>
        <row r="412">
          <cell r="A412">
            <v>38303</v>
          </cell>
        </row>
        <row r="413">
          <cell r="A413">
            <v>38304</v>
          </cell>
        </row>
        <row r="414">
          <cell r="A414">
            <v>38305</v>
          </cell>
        </row>
        <row r="415">
          <cell r="A415">
            <v>38306</v>
          </cell>
        </row>
        <row r="416">
          <cell r="A416">
            <v>38307</v>
          </cell>
        </row>
        <row r="417">
          <cell r="A417">
            <v>38308</v>
          </cell>
        </row>
        <row r="418">
          <cell r="A418">
            <v>38309</v>
          </cell>
        </row>
        <row r="419">
          <cell r="A419">
            <v>38310</v>
          </cell>
        </row>
        <row r="420">
          <cell r="A420">
            <v>38311</v>
          </cell>
        </row>
        <row r="421">
          <cell r="A421">
            <v>38312</v>
          </cell>
        </row>
        <row r="422">
          <cell r="A422">
            <v>38313</v>
          </cell>
        </row>
        <row r="423">
          <cell r="A423">
            <v>38314</v>
          </cell>
        </row>
        <row r="424">
          <cell r="A424">
            <v>38315</v>
          </cell>
        </row>
        <row r="425">
          <cell r="A425">
            <v>38316</v>
          </cell>
        </row>
        <row r="426">
          <cell r="A426">
            <v>38317</v>
          </cell>
        </row>
        <row r="427">
          <cell r="A427">
            <v>38318</v>
          </cell>
        </row>
        <row r="428">
          <cell r="A428">
            <v>38319</v>
          </cell>
        </row>
        <row r="429">
          <cell r="A429">
            <v>38320</v>
          </cell>
        </row>
        <row r="430">
          <cell r="A430">
            <v>38321</v>
          </cell>
        </row>
        <row r="431">
          <cell r="A431">
            <v>38322</v>
          </cell>
        </row>
        <row r="432">
          <cell r="A432">
            <v>38323</v>
          </cell>
        </row>
        <row r="433">
          <cell r="A433">
            <v>38324</v>
          </cell>
        </row>
        <row r="434">
          <cell r="A434">
            <v>38325</v>
          </cell>
        </row>
        <row r="435">
          <cell r="A435">
            <v>38326</v>
          </cell>
        </row>
        <row r="436">
          <cell r="A436">
            <v>38327</v>
          </cell>
        </row>
        <row r="437">
          <cell r="A437">
            <v>38328</v>
          </cell>
        </row>
        <row r="438">
          <cell r="A438">
            <v>38329</v>
          </cell>
        </row>
        <row r="439">
          <cell r="A439">
            <v>38330</v>
          </cell>
        </row>
        <row r="440">
          <cell r="A440">
            <v>38331</v>
          </cell>
        </row>
        <row r="441">
          <cell r="A441">
            <v>38332</v>
          </cell>
        </row>
        <row r="442">
          <cell r="A442">
            <v>38333</v>
          </cell>
        </row>
        <row r="443">
          <cell r="A443">
            <v>38334</v>
          </cell>
        </row>
        <row r="444">
          <cell r="A444">
            <v>38335</v>
          </cell>
        </row>
        <row r="445">
          <cell r="A445">
            <v>38336</v>
          </cell>
        </row>
        <row r="446">
          <cell r="A446">
            <v>38337</v>
          </cell>
        </row>
        <row r="447">
          <cell r="A447">
            <v>38338</v>
          </cell>
        </row>
        <row r="448">
          <cell r="A448">
            <v>38339</v>
          </cell>
        </row>
        <row r="449">
          <cell r="A449">
            <v>38340</v>
          </cell>
        </row>
        <row r="450">
          <cell r="A450">
            <v>38341</v>
          </cell>
        </row>
        <row r="451">
          <cell r="A451">
            <v>38342</v>
          </cell>
        </row>
        <row r="452">
          <cell r="A452">
            <v>38343</v>
          </cell>
        </row>
        <row r="453">
          <cell r="A453">
            <v>38344</v>
          </cell>
        </row>
        <row r="454">
          <cell r="A454">
            <v>38345</v>
          </cell>
        </row>
        <row r="455">
          <cell r="A455">
            <v>38346</v>
          </cell>
        </row>
        <row r="456">
          <cell r="A456">
            <v>38347</v>
          </cell>
        </row>
        <row r="457">
          <cell r="A457">
            <v>38348</v>
          </cell>
        </row>
        <row r="458">
          <cell r="A458">
            <v>38349</v>
          </cell>
        </row>
        <row r="459">
          <cell r="A459">
            <v>38350</v>
          </cell>
        </row>
        <row r="460">
          <cell r="A460">
            <v>38351</v>
          </cell>
        </row>
        <row r="461">
          <cell r="A461">
            <v>38352</v>
          </cell>
        </row>
        <row r="462">
          <cell r="A462">
            <v>38353</v>
          </cell>
        </row>
        <row r="463">
          <cell r="A463">
            <v>38354</v>
          </cell>
        </row>
        <row r="464">
          <cell r="A464">
            <v>38355</v>
          </cell>
        </row>
        <row r="465">
          <cell r="A465">
            <v>38356</v>
          </cell>
        </row>
        <row r="466">
          <cell r="A466">
            <v>38357</v>
          </cell>
        </row>
        <row r="467">
          <cell r="A467">
            <v>38358</v>
          </cell>
        </row>
        <row r="468">
          <cell r="A468">
            <v>38359</v>
          </cell>
        </row>
        <row r="469">
          <cell r="A469">
            <v>38360</v>
          </cell>
        </row>
        <row r="470">
          <cell r="A470">
            <v>38361</v>
          </cell>
        </row>
        <row r="471">
          <cell r="A471">
            <v>38362</v>
          </cell>
        </row>
        <row r="472">
          <cell r="A472">
            <v>38363</v>
          </cell>
        </row>
        <row r="473">
          <cell r="A473">
            <v>38364</v>
          </cell>
        </row>
        <row r="474">
          <cell r="A474">
            <v>38365</v>
          </cell>
        </row>
        <row r="475">
          <cell r="A475">
            <v>38366</v>
          </cell>
        </row>
        <row r="476">
          <cell r="A476">
            <v>38367</v>
          </cell>
        </row>
        <row r="477">
          <cell r="A477">
            <v>38368</v>
          </cell>
        </row>
        <row r="478">
          <cell r="A478">
            <v>38369</v>
          </cell>
        </row>
        <row r="479">
          <cell r="A479">
            <v>38370</v>
          </cell>
        </row>
        <row r="480">
          <cell r="A480">
            <v>38371</v>
          </cell>
        </row>
        <row r="481">
          <cell r="A481">
            <v>38372</v>
          </cell>
        </row>
        <row r="482">
          <cell r="A482">
            <v>38373</v>
          </cell>
        </row>
        <row r="483">
          <cell r="A483">
            <v>38374</v>
          </cell>
        </row>
        <row r="484">
          <cell r="A484">
            <v>38375</v>
          </cell>
        </row>
        <row r="485">
          <cell r="A485">
            <v>38376</v>
          </cell>
        </row>
        <row r="486">
          <cell r="A486">
            <v>38377</v>
          </cell>
        </row>
        <row r="487">
          <cell r="A487">
            <v>38378</v>
          </cell>
        </row>
        <row r="488">
          <cell r="A488">
            <v>38379</v>
          </cell>
        </row>
        <row r="489">
          <cell r="A489">
            <v>38380</v>
          </cell>
        </row>
        <row r="490">
          <cell r="A490">
            <v>38381</v>
          </cell>
        </row>
        <row r="491">
          <cell r="A491">
            <v>38382</v>
          </cell>
        </row>
        <row r="492">
          <cell r="A492">
            <v>38383</v>
          </cell>
        </row>
        <row r="493">
          <cell r="A493">
            <v>38384</v>
          </cell>
        </row>
        <row r="494">
          <cell r="A494">
            <v>38385</v>
          </cell>
        </row>
        <row r="495">
          <cell r="A495">
            <v>38386</v>
          </cell>
        </row>
        <row r="496">
          <cell r="A496">
            <v>38387</v>
          </cell>
        </row>
        <row r="497">
          <cell r="A497">
            <v>38388</v>
          </cell>
        </row>
        <row r="498">
          <cell r="A498">
            <v>38389</v>
          </cell>
        </row>
        <row r="499">
          <cell r="A499">
            <v>38390</v>
          </cell>
        </row>
        <row r="500">
          <cell r="A500">
            <v>38391</v>
          </cell>
        </row>
        <row r="501">
          <cell r="A501">
            <v>38392</v>
          </cell>
        </row>
        <row r="502">
          <cell r="A502">
            <v>38393</v>
          </cell>
        </row>
        <row r="503">
          <cell r="A503">
            <v>38394</v>
          </cell>
        </row>
        <row r="504">
          <cell r="A504">
            <v>38395</v>
          </cell>
        </row>
        <row r="505">
          <cell r="A505">
            <v>38396</v>
          </cell>
        </row>
        <row r="506">
          <cell r="A506">
            <v>38397</v>
          </cell>
        </row>
        <row r="507">
          <cell r="A507">
            <v>38398</v>
          </cell>
        </row>
        <row r="508">
          <cell r="A508">
            <v>38399</v>
          </cell>
        </row>
        <row r="509">
          <cell r="A509">
            <v>38400</v>
          </cell>
        </row>
        <row r="510">
          <cell r="A510">
            <v>38401</v>
          </cell>
        </row>
        <row r="511">
          <cell r="A511">
            <v>38402</v>
          </cell>
        </row>
        <row r="512">
          <cell r="A512">
            <v>38403</v>
          </cell>
        </row>
        <row r="513">
          <cell r="A513">
            <v>38404</v>
          </cell>
        </row>
        <row r="514">
          <cell r="A514">
            <v>38405</v>
          </cell>
        </row>
        <row r="515">
          <cell r="A515">
            <v>38406</v>
          </cell>
        </row>
        <row r="516">
          <cell r="A516">
            <v>38407</v>
          </cell>
        </row>
        <row r="517">
          <cell r="A517">
            <v>38408</v>
          </cell>
        </row>
        <row r="518">
          <cell r="A518">
            <v>38409</v>
          </cell>
        </row>
        <row r="519">
          <cell r="A519">
            <v>38410</v>
          </cell>
        </row>
        <row r="520">
          <cell r="A520">
            <v>38411</v>
          </cell>
        </row>
        <row r="521">
          <cell r="A521">
            <v>38412</v>
          </cell>
        </row>
        <row r="522">
          <cell r="A522">
            <v>38413</v>
          </cell>
        </row>
        <row r="523">
          <cell r="A523">
            <v>38414</v>
          </cell>
        </row>
        <row r="524">
          <cell r="A524">
            <v>38415</v>
          </cell>
        </row>
        <row r="525">
          <cell r="A525">
            <v>38416</v>
          </cell>
        </row>
        <row r="526">
          <cell r="A526">
            <v>38417</v>
          </cell>
        </row>
        <row r="527">
          <cell r="A527">
            <v>38418</v>
          </cell>
        </row>
        <row r="528">
          <cell r="A528">
            <v>38419</v>
          </cell>
        </row>
        <row r="529">
          <cell r="A529">
            <v>38420</v>
          </cell>
        </row>
        <row r="530">
          <cell r="A530">
            <v>38421</v>
          </cell>
        </row>
        <row r="531">
          <cell r="A531">
            <v>38422</v>
          </cell>
        </row>
        <row r="532">
          <cell r="A532">
            <v>38423</v>
          </cell>
        </row>
        <row r="533">
          <cell r="A533">
            <v>38424</v>
          </cell>
        </row>
        <row r="534">
          <cell r="A534">
            <v>38425</v>
          </cell>
        </row>
        <row r="535">
          <cell r="A535">
            <v>38426</v>
          </cell>
        </row>
        <row r="536">
          <cell r="A536">
            <v>38427</v>
          </cell>
        </row>
        <row r="537">
          <cell r="A537">
            <v>38428</v>
          </cell>
        </row>
        <row r="538">
          <cell r="A538">
            <v>38429</v>
          </cell>
        </row>
        <row r="539">
          <cell r="A539">
            <v>38430</v>
          </cell>
        </row>
        <row r="540">
          <cell r="A540">
            <v>38431</v>
          </cell>
        </row>
        <row r="541">
          <cell r="A541">
            <v>38432</v>
          </cell>
        </row>
        <row r="542">
          <cell r="A542">
            <v>38433</v>
          </cell>
        </row>
        <row r="543">
          <cell r="A543">
            <v>38434</v>
          </cell>
        </row>
        <row r="544">
          <cell r="A544">
            <v>38435</v>
          </cell>
        </row>
        <row r="545">
          <cell r="A545">
            <v>38436</v>
          </cell>
        </row>
        <row r="546">
          <cell r="A546">
            <v>38437</v>
          </cell>
        </row>
        <row r="547">
          <cell r="A547">
            <v>38438</v>
          </cell>
        </row>
        <row r="548">
          <cell r="A548">
            <v>38439</v>
          </cell>
        </row>
        <row r="549">
          <cell r="A549">
            <v>38440</v>
          </cell>
        </row>
        <row r="550">
          <cell r="A550">
            <v>38441</v>
          </cell>
        </row>
        <row r="551">
          <cell r="A551">
            <v>38442</v>
          </cell>
        </row>
        <row r="552">
          <cell r="A552">
            <v>38443</v>
          </cell>
        </row>
        <row r="553">
          <cell r="A553">
            <v>38444</v>
          </cell>
        </row>
        <row r="554">
          <cell r="A554">
            <v>38445</v>
          </cell>
        </row>
        <row r="555">
          <cell r="A555">
            <v>38446</v>
          </cell>
        </row>
        <row r="556">
          <cell r="A556">
            <v>38447</v>
          </cell>
        </row>
        <row r="557">
          <cell r="A557">
            <v>38448</v>
          </cell>
        </row>
        <row r="558">
          <cell r="A558">
            <v>38449</v>
          </cell>
        </row>
        <row r="559">
          <cell r="A559">
            <v>38450</v>
          </cell>
        </row>
        <row r="560">
          <cell r="A560">
            <v>38451</v>
          </cell>
        </row>
        <row r="561">
          <cell r="A561">
            <v>38452</v>
          </cell>
        </row>
        <row r="562">
          <cell r="A562">
            <v>38453</v>
          </cell>
        </row>
        <row r="563">
          <cell r="A563">
            <v>38454</v>
          </cell>
        </row>
        <row r="564">
          <cell r="A564">
            <v>38455</v>
          </cell>
        </row>
        <row r="565">
          <cell r="A565">
            <v>38456</v>
          </cell>
        </row>
        <row r="566">
          <cell r="A566">
            <v>38457</v>
          </cell>
        </row>
        <row r="567">
          <cell r="A567">
            <v>38458</v>
          </cell>
        </row>
        <row r="568">
          <cell r="A568">
            <v>38459</v>
          </cell>
        </row>
        <row r="569">
          <cell r="A569">
            <v>38460</v>
          </cell>
        </row>
        <row r="570">
          <cell r="A570">
            <v>38461</v>
          </cell>
        </row>
        <row r="571">
          <cell r="A571">
            <v>38462</v>
          </cell>
        </row>
        <row r="572">
          <cell r="A572">
            <v>38463</v>
          </cell>
        </row>
        <row r="573">
          <cell r="A573">
            <v>38464</v>
          </cell>
        </row>
        <row r="574">
          <cell r="A574">
            <v>38465</v>
          </cell>
        </row>
        <row r="575">
          <cell r="A575">
            <v>38466</v>
          </cell>
        </row>
        <row r="576">
          <cell r="A576">
            <v>38467</v>
          </cell>
        </row>
        <row r="577">
          <cell r="A577">
            <v>38468</v>
          </cell>
        </row>
        <row r="578">
          <cell r="A578">
            <v>38469</v>
          </cell>
        </row>
        <row r="579">
          <cell r="A579">
            <v>38470</v>
          </cell>
        </row>
        <row r="580">
          <cell r="A580">
            <v>38471</v>
          </cell>
        </row>
        <row r="581">
          <cell r="A581">
            <v>38472</v>
          </cell>
        </row>
        <row r="582">
          <cell r="A582">
            <v>38473</v>
          </cell>
        </row>
        <row r="583">
          <cell r="A583">
            <v>38474</v>
          </cell>
        </row>
        <row r="584">
          <cell r="A584">
            <v>38475</v>
          </cell>
        </row>
        <row r="585">
          <cell r="A585">
            <v>38476</v>
          </cell>
        </row>
        <row r="586">
          <cell r="A586">
            <v>38477</v>
          </cell>
        </row>
        <row r="587">
          <cell r="A587">
            <v>38478</v>
          </cell>
        </row>
        <row r="588">
          <cell r="A588">
            <v>38479</v>
          </cell>
        </row>
        <row r="589">
          <cell r="A589">
            <v>38480</v>
          </cell>
        </row>
        <row r="590">
          <cell r="A590">
            <v>38481</v>
          </cell>
        </row>
        <row r="591">
          <cell r="A591">
            <v>38482</v>
          </cell>
        </row>
        <row r="592">
          <cell r="A592">
            <v>38483</v>
          </cell>
        </row>
        <row r="593">
          <cell r="A593">
            <v>38484</v>
          </cell>
        </row>
        <row r="594">
          <cell r="A594">
            <v>38485</v>
          </cell>
        </row>
        <row r="595">
          <cell r="A595">
            <v>38486</v>
          </cell>
        </row>
        <row r="596">
          <cell r="A596">
            <v>38487</v>
          </cell>
        </row>
        <row r="597">
          <cell r="A597">
            <v>38488</v>
          </cell>
        </row>
        <row r="598">
          <cell r="A598">
            <v>38489</v>
          </cell>
        </row>
        <row r="599">
          <cell r="A599">
            <v>38490</v>
          </cell>
        </row>
        <row r="600">
          <cell r="A600">
            <v>38491</v>
          </cell>
        </row>
        <row r="601">
          <cell r="A601">
            <v>38492</v>
          </cell>
        </row>
        <row r="602">
          <cell r="A602">
            <v>38493</v>
          </cell>
        </row>
        <row r="603">
          <cell r="A603">
            <v>38494</v>
          </cell>
        </row>
        <row r="604">
          <cell r="A604">
            <v>38495</v>
          </cell>
        </row>
        <row r="605">
          <cell r="A605">
            <v>38496</v>
          </cell>
        </row>
        <row r="606">
          <cell r="A606">
            <v>38497</v>
          </cell>
        </row>
        <row r="607">
          <cell r="A607">
            <v>38498</v>
          </cell>
        </row>
        <row r="608">
          <cell r="A608">
            <v>38499</v>
          </cell>
        </row>
        <row r="609">
          <cell r="A609">
            <v>38500</v>
          </cell>
        </row>
        <row r="610">
          <cell r="A610">
            <v>38501</v>
          </cell>
        </row>
        <row r="611">
          <cell r="A611">
            <v>38502</v>
          </cell>
        </row>
        <row r="612">
          <cell r="A612">
            <v>38503</v>
          </cell>
        </row>
        <row r="613">
          <cell r="A613">
            <v>38504</v>
          </cell>
        </row>
        <row r="614">
          <cell r="A614">
            <v>38505</v>
          </cell>
        </row>
        <row r="615">
          <cell r="A615">
            <v>38506</v>
          </cell>
        </row>
        <row r="616">
          <cell r="A616">
            <v>38507</v>
          </cell>
        </row>
        <row r="617">
          <cell r="A617">
            <v>38508</v>
          </cell>
        </row>
        <row r="618">
          <cell r="A618">
            <v>38509</v>
          </cell>
        </row>
        <row r="619">
          <cell r="A619">
            <v>38510</v>
          </cell>
        </row>
        <row r="620">
          <cell r="A620">
            <v>38511</v>
          </cell>
        </row>
        <row r="621">
          <cell r="A621">
            <v>38512</v>
          </cell>
        </row>
        <row r="622">
          <cell r="A622">
            <v>38513</v>
          </cell>
        </row>
        <row r="623">
          <cell r="A623">
            <v>38514</v>
          </cell>
        </row>
        <row r="624">
          <cell r="A624">
            <v>38515</v>
          </cell>
        </row>
        <row r="625">
          <cell r="A625">
            <v>38516</v>
          </cell>
        </row>
        <row r="626">
          <cell r="A626">
            <v>38517</v>
          </cell>
        </row>
        <row r="627">
          <cell r="A627">
            <v>38518</v>
          </cell>
        </row>
        <row r="628">
          <cell r="A628">
            <v>38519</v>
          </cell>
        </row>
        <row r="629">
          <cell r="A629">
            <v>38520</v>
          </cell>
        </row>
        <row r="630">
          <cell r="A630">
            <v>38521</v>
          </cell>
        </row>
        <row r="631">
          <cell r="A631">
            <v>38522</v>
          </cell>
        </row>
        <row r="632">
          <cell r="A632">
            <v>38523</v>
          </cell>
        </row>
        <row r="633">
          <cell r="A633">
            <v>38524</v>
          </cell>
        </row>
        <row r="634">
          <cell r="A634">
            <v>38525</v>
          </cell>
        </row>
        <row r="635">
          <cell r="A635">
            <v>38526</v>
          </cell>
        </row>
        <row r="636">
          <cell r="A636">
            <v>38527</v>
          </cell>
        </row>
        <row r="637">
          <cell r="A637">
            <v>38528</v>
          </cell>
        </row>
        <row r="638">
          <cell r="A638">
            <v>38529</v>
          </cell>
        </row>
        <row r="639">
          <cell r="A639">
            <v>38530</v>
          </cell>
        </row>
        <row r="640">
          <cell r="A640">
            <v>38531</v>
          </cell>
        </row>
        <row r="641">
          <cell r="A641">
            <v>38532</v>
          </cell>
        </row>
        <row r="642">
          <cell r="A642">
            <v>38533</v>
          </cell>
        </row>
        <row r="643">
          <cell r="A643">
            <v>38534</v>
          </cell>
        </row>
        <row r="644">
          <cell r="A644">
            <v>38535</v>
          </cell>
        </row>
        <row r="645">
          <cell r="A645">
            <v>38536</v>
          </cell>
        </row>
        <row r="646">
          <cell r="A646">
            <v>38537</v>
          </cell>
        </row>
        <row r="647">
          <cell r="A647">
            <v>38538</v>
          </cell>
        </row>
        <row r="648">
          <cell r="A648">
            <v>38539</v>
          </cell>
        </row>
        <row r="649">
          <cell r="A649">
            <v>38540</v>
          </cell>
        </row>
        <row r="650">
          <cell r="A650">
            <v>38541</v>
          </cell>
        </row>
        <row r="651">
          <cell r="A651">
            <v>38542</v>
          </cell>
        </row>
        <row r="652">
          <cell r="A652">
            <v>38543</v>
          </cell>
        </row>
        <row r="653">
          <cell r="A653">
            <v>38544</v>
          </cell>
        </row>
        <row r="654">
          <cell r="A654">
            <v>38545</v>
          </cell>
        </row>
        <row r="655">
          <cell r="A655">
            <v>38546</v>
          </cell>
        </row>
        <row r="656">
          <cell r="A656">
            <v>38547</v>
          </cell>
        </row>
        <row r="657">
          <cell r="A657">
            <v>38548</v>
          </cell>
        </row>
        <row r="658">
          <cell r="A658">
            <v>38549</v>
          </cell>
        </row>
        <row r="659">
          <cell r="A659">
            <v>38550</v>
          </cell>
        </row>
        <row r="660">
          <cell r="A660">
            <v>38551</v>
          </cell>
        </row>
        <row r="661">
          <cell r="A661">
            <v>38552</v>
          </cell>
        </row>
        <row r="662">
          <cell r="A662">
            <v>38553</v>
          </cell>
        </row>
        <row r="663">
          <cell r="A663">
            <v>38554</v>
          </cell>
        </row>
        <row r="664">
          <cell r="A664">
            <v>38555</v>
          </cell>
        </row>
        <row r="665">
          <cell r="A665">
            <v>38556</v>
          </cell>
        </row>
        <row r="666">
          <cell r="A666">
            <v>38557</v>
          </cell>
        </row>
        <row r="667">
          <cell r="A667">
            <v>38558</v>
          </cell>
        </row>
        <row r="668">
          <cell r="A668">
            <v>38559</v>
          </cell>
        </row>
        <row r="669">
          <cell r="A669">
            <v>38560</v>
          </cell>
        </row>
        <row r="670">
          <cell r="A670">
            <v>38561</v>
          </cell>
        </row>
        <row r="671">
          <cell r="A671">
            <v>38562</v>
          </cell>
        </row>
        <row r="672">
          <cell r="A672">
            <v>38563</v>
          </cell>
        </row>
        <row r="673">
          <cell r="A673">
            <v>38564</v>
          </cell>
        </row>
        <row r="674">
          <cell r="A674">
            <v>38565</v>
          </cell>
        </row>
        <row r="675">
          <cell r="A675">
            <v>38566</v>
          </cell>
        </row>
        <row r="676">
          <cell r="A676">
            <v>38567</v>
          </cell>
        </row>
        <row r="677">
          <cell r="A677">
            <v>38568</v>
          </cell>
        </row>
        <row r="678">
          <cell r="A678">
            <v>38569</v>
          </cell>
        </row>
        <row r="679">
          <cell r="A679">
            <v>38570</v>
          </cell>
        </row>
        <row r="680">
          <cell r="A680">
            <v>38571</v>
          </cell>
        </row>
        <row r="681">
          <cell r="A681">
            <v>38572</v>
          </cell>
        </row>
        <row r="682">
          <cell r="A682">
            <v>38573</v>
          </cell>
        </row>
        <row r="683">
          <cell r="A683">
            <v>38574</v>
          </cell>
        </row>
        <row r="684">
          <cell r="A684">
            <v>38575</v>
          </cell>
        </row>
        <row r="685">
          <cell r="A685">
            <v>38576</v>
          </cell>
        </row>
        <row r="686">
          <cell r="A686">
            <v>38577</v>
          </cell>
        </row>
        <row r="687">
          <cell r="A687">
            <v>38578</v>
          </cell>
        </row>
        <row r="688">
          <cell r="A688">
            <v>38579</v>
          </cell>
        </row>
        <row r="689">
          <cell r="A689">
            <v>38580</v>
          </cell>
        </row>
        <row r="690">
          <cell r="A690">
            <v>38581</v>
          </cell>
        </row>
        <row r="691">
          <cell r="A691">
            <v>38582</v>
          </cell>
        </row>
        <row r="692">
          <cell r="A692">
            <v>38583</v>
          </cell>
        </row>
        <row r="693">
          <cell r="A693">
            <v>38584</v>
          </cell>
        </row>
        <row r="694">
          <cell r="A694">
            <v>38585</v>
          </cell>
        </row>
        <row r="695">
          <cell r="A695">
            <v>38586</v>
          </cell>
        </row>
        <row r="696">
          <cell r="A696">
            <v>38587</v>
          </cell>
        </row>
        <row r="697">
          <cell r="A697">
            <v>38588</v>
          </cell>
        </row>
        <row r="698">
          <cell r="A698">
            <v>38589</v>
          </cell>
        </row>
        <row r="699">
          <cell r="A699">
            <v>38590</v>
          </cell>
        </row>
        <row r="700">
          <cell r="A700">
            <v>38591</v>
          </cell>
        </row>
        <row r="701">
          <cell r="A701">
            <v>38592</v>
          </cell>
        </row>
        <row r="702">
          <cell r="A702">
            <v>38593</v>
          </cell>
        </row>
        <row r="703">
          <cell r="A703">
            <v>38594</v>
          </cell>
        </row>
        <row r="704">
          <cell r="A704">
            <v>38595</v>
          </cell>
        </row>
        <row r="705">
          <cell r="A705">
            <v>38596</v>
          </cell>
        </row>
        <row r="706">
          <cell r="A706">
            <v>38597</v>
          </cell>
        </row>
        <row r="707">
          <cell r="A707">
            <v>38598</v>
          </cell>
        </row>
        <row r="708">
          <cell r="A708">
            <v>38599</v>
          </cell>
        </row>
        <row r="709">
          <cell r="A709">
            <v>38600</v>
          </cell>
        </row>
        <row r="710">
          <cell r="A710">
            <v>38601</v>
          </cell>
        </row>
        <row r="711">
          <cell r="A711">
            <v>38603</v>
          </cell>
        </row>
        <row r="712">
          <cell r="A712">
            <v>38604</v>
          </cell>
        </row>
        <row r="713">
          <cell r="A713">
            <v>38602</v>
          </cell>
        </row>
        <row r="714">
          <cell r="A714">
            <v>38605</v>
          </cell>
        </row>
        <row r="715">
          <cell r="A715">
            <v>38606</v>
          </cell>
        </row>
        <row r="716">
          <cell r="A716">
            <v>38607</v>
          </cell>
        </row>
        <row r="717">
          <cell r="A717">
            <v>38608</v>
          </cell>
        </row>
        <row r="718">
          <cell r="A718">
            <v>38609</v>
          </cell>
        </row>
        <row r="719">
          <cell r="A719">
            <v>38610</v>
          </cell>
        </row>
        <row r="720">
          <cell r="A720">
            <v>38611</v>
          </cell>
        </row>
        <row r="721">
          <cell r="A721">
            <v>38612</v>
          </cell>
        </row>
        <row r="722">
          <cell r="A722">
            <v>38613</v>
          </cell>
        </row>
        <row r="723">
          <cell r="A723">
            <v>38614</v>
          </cell>
        </row>
        <row r="724">
          <cell r="A724">
            <v>38615</v>
          </cell>
        </row>
        <row r="725">
          <cell r="A725">
            <v>38616</v>
          </cell>
        </row>
        <row r="726">
          <cell r="A726">
            <v>38617</v>
          </cell>
        </row>
        <row r="727">
          <cell r="A727">
            <v>38618</v>
          </cell>
        </row>
        <row r="728">
          <cell r="A728">
            <v>38619</v>
          </cell>
        </row>
        <row r="729">
          <cell r="A729">
            <v>38620</v>
          </cell>
        </row>
        <row r="730">
          <cell r="A730">
            <v>38621</v>
          </cell>
        </row>
        <row r="731">
          <cell r="A731">
            <v>38622</v>
          </cell>
        </row>
        <row r="732">
          <cell r="A732">
            <v>38623</v>
          </cell>
        </row>
        <row r="733">
          <cell r="A733">
            <v>38624</v>
          </cell>
        </row>
        <row r="734">
          <cell r="A734">
            <v>38625</v>
          </cell>
        </row>
        <row r="735">
          <cell r="A735">
            <v>38626</v>
          </cell>
        </row>
        <row r="736">
          <cell r="A736">
            <v>38627</v>
          </cell>
        </row>
        <row r="737">
          <cell r="A737">
            <v>38628</v>
          </cell>
        </row>
        <row r="738">
          <cell r="A738">
            <v>38629</v>
          </cell>
        </row>
        <row r="739">
          <cell r="A739">
            <v>38630</v>
          </cell>
        </row>
        <row r="740">
          <cell r="A740">
            <v>38631</v>
          </cell>
        </row>
        <row r="741">
          <cell r="A741">
            <v>38632</v>
          </cell>
        </row>
        <row r="742">
          <cell r="A742">
            <v>38633</v>
          </cell>
        </row>
        <row r="743">
          <cell r="A743">
            <v>38634</v>
          </cell>
        </row>
        <row r="744">
          <cell r="A744">
            <v>38635</v>
          </cell>
        </row>
        <row r="745">
          <cell r="A745">
            <v>38636</v>
          </cell>
        </row>
        <row r="746">
          <cell r="A746">
            <v>38637</v>
          </cell>
        </row>
        <row r="747">
          <cell r="A747">
            <v>38638</v>
          </cell>
        </row>
        <row r="748">
          <cell r="A748">
            <v>38639</v>
          </cell>
        </row>
        <row r="749">
          <cell r="A749">
            <v>38640</v>
          </cell>
        </row>
        <row r="750">
          <cell r="A750">
            <v>38641</v>
          </cell>
        </row>
        <row r="751">
          <cell r="A751">
            <v>38642</v>
          </cell>
        </row>
        <row r="752">
          <cell r="A752">
            <v>38643</v>
          </cell>
        </row>
        <row r="753">
          <cell r="A753">
            <v>38644</v>
          </cell>
        </row>
        <row r="754">
          <cell r="A754">
            <v>38645</v>
          </cell>
        </row>
        <row r="755">
          <cell r="A755">
            <v>38646</v>
          </cell>
        </row>
        <row r="756">
          <cell r="A756">
            <v>38647</v>
          </cell>
        </row>
        <row r="757">
          <cell r="A757">
            <v>38648</v>
          </cell>
        </row>
        <row r="758">
          <cell r="A758">
            <v>38649</v>
          </cell>
        </row>
        <row r="759">
          <cell r="A759">
            <v>38650</v>
          </cell>
        </row>
        <row r="760">
          <cell r="A760">
            <v>38651</v>
          </cell>
        </row>
        <row r="761">
          <cell r="A761">
            <v>38652</v>
          </cell>
        </row>
        <row r="762">
          <cell r="A762">
            <v>38653</v>
          </cell>
        </row>
        <row r="763">
          <cell r="A763">
            <v>38654</v>
          </cell>
        </row>
        <row r="764">
          <cell r="A764">
            <v>38655</v>
          </cell>
        </row>
        <row r="765">
          <cell r="A765">
            <v>38656</v>
          </cell>
        </row>
        <row r="766">
          <cell r="A766">
            <v>38657</v>
          </cell>
        </row>
        <row r="767">
          <cell r="A767">
            <v>38658</v>
          </cell>
        </row>
        <row r="768">
          <cell r="A768">
            <v>38659</v>
          </cell>
        </row>
        <row r="769">
          <cell r="A769">
            <v>38660</v>
          </cell>
        </row>
        <row r="770">
          <cell r="A770">
            <v>38661</v>
          </cell>
        </row>
        <row r="771">
          <cell r="A771">
            <v>38662</v>
          </cell>
        </row>
        <row r="772">
          <cell r="A772">
            <v>38663</v>
          </cell>
        </row>
        <row r="773">
          <cell r="A773">
            <v>38664</v>
          </cell>
        </row>
        <row r="774">
          <cell r="A774">
            <v>38665</v>
          </cell>
        </row>
        <row r="775">
          <cell r="A775">
            <v>38666</v>
          </cell>
        </row>
        <row r="776">
          <cell r="A776">
            <v>38667</v>
          </cell>
        </row>
        <row r="777">
          <cell r="A777">
            <v>38668</v>
          </cell>
        </row>
        <row r="778">
          <cell r="A778">
            <v>38669</v>
          </cell>
        </row>
        <row r="779">
          <cell r="A779">
            <v>38670</v>
          </cell>
        </row>
        <row r="780">
          <cell r="A780">
            <v>38671</v>
          </cell>
        </row>
        <row r="781">
          <cell r="A781">
            <v>38672</v>
          </cell>
        </row>
        <row r="782">
          <cell r="A782">
            <v>38673</v>
          </cell>
        </row>
        <row r="783">
          <cell r="A783">
            <v>38674</v>
          </cell>
        </row>
        <row r="784">
          <cell r="A784">
            <v>38675</v>
          </cell>
        </row>
        <row r="785">
          <cell r="A785">
            <v>38676</v>
          </cell>
        </row>
        <row r="786">
          <cell r="A786">
            <v>38677</v>
          </cell>
        </row>
        <row r="787">
          <cell r="A787">
            <v>38678</v>
          </cell>
        </row>
        <row r="788">
          <cell r="A788">
            <v>38679</v>
          </cell>
        </row>
        <row r="789">
          <cell r="A789">
            <v>38680</v>
          </cell>
        </row>
        <row r="790">
          <cell r="A790">
            <v>38681</v>
          </cell>
        </row>
        <row r="791">
          <cell r="A791">
            <v>38682</v>
          </cell>
        </row>
        <row r="792">
          <cell r="A792">
            <v>38683</v>
          </cell>
        </row>
        <row r="793">
          <cell r="A793">
            <v>38684</v>
          </cell>
        </row>
        <row r="794">
          <cell r="A794">
            <v>38685</v>
          </cell>
        </row>
        <row r="795">
          <cell r="A795">
            <v>38686</v>
          </cell>
        </row>
        <row r="796">
          <cell r="A796">
            <v>38687</v>
          </cell>
        </row>
        <row r="797">
          <cell r="A797">
            <v>38688</v>
          </cell>
        </row>
        <row r="798">
          <cell r="A798">
            <v>38689</v>
          </cell>
        </row>
        <row r="799">
          <cell r="A799">
            <v>38690</v>
          </cell>
        </row>
        <row r="800">
          <cell r="A800">
            <v>38691</v>
          </cell>
        </row>
        <row r="801">
          <cell r="A801">
            <v>38692</v>
          </cell>
        </row>
        <row r="802">
          <cell r="A802">
            <v>38693</v>
          </cell>
        </row>
        <row r="803">
          <cell r="A803">
            <v>38694</v>
          </cell>
        </row>
        <row r="804">
          <cell r="A804">
            <v>38695</v>
          </cell>
        </row>
        <row r="805">
          <cell r="A805">
            <v>38696</v>
          </cell>
        </row>
        <row r="806">
          <cell r="A806">
            <v>38697</v>
          </cell>
        </row>
        <row r="807">
          <cell r="A807">
            <v>38698</v>
          </cell>
        </row>
        <row r="808">
          <cell r="A808">
            <v>38699</v>
          </cell>
        </row>
        <row r="809">
          <cell r="A809">
            <v>38700</v>
          </cell>
        </row>
        <row r="810">
          <cell r="A810">
            <v>38701</v>
          </cell>
        </row>
        <row r="811">
          <cell r="A811">
            <v>38702</v>
          </cell>
        </row>
        <row r="812">
          <cell r="A812">
            <v>38703</v>
          </cell>
        </row>
        <row r="813">
          <cell r="A813">
            <v>38704</v>
          </cell>
        </row>
        <row r="814">
          <cell r="A814">
            <v>38705</v>
          </cell>
        </row>
        <row r="815">
          <cell r="A815">
            <v>38706</v>
          </cell>
        </row>
        <row r="816">
          <cell r="A816">
            <v>38707</v>
          </cell>
        </row>
        <row r="817">
          <cell r="A817">
            <v>38708</v>
          </cell>
        </row>
        <row r="818">
          <cell r="A818">
            <v>38709</v>
          </cell>
        </row>
        <row r="819">
          <cell r="A819">
            <v>38710</v>
          </cell>
        </row>
        <row r="820">
          <cell r="A820">
            <v>38711</v>
          </cell>
        </row>
        <row r="821">
          <cell r="A821">
            <v>38712</v>
          </cell>
        </row>
        <row r="822">
          <cell r="A822">
            <v>38713</v>
          </cell>
        </row>
        <row r="823">
          <cell r="A823">
            <v>38714</v>
          </cell>
        </row>
        <row r="824">
          <cell r="A824">
            <v>38715</v>
          </cell>
        </row>
        <row r="825">
          <cell r="A825">
            <v>38716</v>
          </cell>
        </row>
        <row r="826">
          <cell r="A826">
            <v>38717</v>
          </cell>
        </row>
        <row r="827">
          <cell r="A827">
            <v>38718</v>
          </cell>
        </row>
        <row r="828">
          <cell r="A828">
            <v>38719</v>
          </cell>
        </row>
        <row r="829">
          <cell r="A829">
            <v>38720</v>
          </cell>
        </row>
        <row r="830">
          <cell r="A830">
            <v>38721</v>
          </cell>
        </row>
        <row r="831">
          <cell r="A831">
            <v>38722</v>
          </cell>
        </row>
        <row r="832">
          <cell r="A832">
            <v>38723</v>
          </cell>
        </row>
        <row r="833">
          <cell r="A833">
            <v>38724</v>
          </cell>
        </row>
        <row r="834">
          <cell r="A834">
            <v>38725</v>
          </cell>
        </row>
        <row r="835">
          <cell r="A835">
            <v>38726</v>
          </cell>
        </row>
        <row r="836">
          <cell r="A836">
            <v>38727</v>
          </cell>
        </row>
        <row r="837">
          <cell r="A837">
            <v>38728</v>
          </cell>
        </row>
        <row r="838">
          <cell r="A838">
            <v>38729</v>
          </cell>
        </row>
        <row r="839">
          <cell r="A839">
            <v>38730</v>
          </cell>
        </row>
        <row r="840">
          <cell r="A840">
            <v>38731</v>
          </cell>
        </row>
        <row r="841">
          <cell r="A841">
            <v>38732</v>
          </cell>
        </row>
        <row r="842">
          <cell r="A842">
            <v>38733</v>
          </cell>
        </row>
        <row r="843">
          <cell r="A843">
            <v>38734</v>
          </cell>
        </row>
        <row r="844">
          <cell r="A844">
            <v>38735</v>
          </cell>
        </row>
        <row r="845">
          <cell r="A845">
            <v>38736</v>
          </cell>
        </row>
        <row r="846">
          <cell r="A846">
            <v>38737</v>
          </cell>
        </row>
        <row r="847">
          <cell r="A847">
            <v>38738</v>
          </cell>
        </row>
        <row r="848">
          <cell r="A848">
            <v>38739</v>
          </cell>
        </row>
        <row r="849">
          <cell r="A849">
            <v>38740</v>
          </cell>
        </row>
        <row r="850">
          <cell r="A850">
            <v>38741</v>
          </cell>
        </row>
        <row r="851">
          <cell r="A851">
            <v>38742</v>
          </cell>
        </row>
        <row r="852">
          <cell r="A852">
            <v>38743</v>
          </cell>
        </row>
        <row r="853">
          <cell r="A853">
            <v>38744</v>
          </cell>
        </row>
        <row r="854">
          <cell r="A854">
            <v>38745</v>
          </cell>
        </row>
        <row r="855">
          <cell r="A855">
            <v>38746</v>
          </cell>
        </row>
        <row r="856">
          <cell r="A856">
            <v>38747</v>
          </cell>
        </row>
        <row r="857">
          <cell r="A857">
            <v>38748</v>
          </cell>
        </row>
        <row r="858">
          <cell r="A858">
            <v>38749</v>
          </cell>
        </row>
        <row r="859">
          <cell r="A859">
            <v>38750</v>
          </cell>
        </row>
        <row r="860">
          <cell r="A860">
            <v>38751</v>
          </cell>
        </row>
        <row r="861">
          <cell r="A861">
            <v>38752</v>
          </cell>
        </row>
        <row r="862">
          <cell r="A862">
            <v>38753</v>
          </cell>
        </row>
        <row r="863">
          <cell r="A863">
            <v>38754</v>
          </cell>
        </row>
        <row r="864">
          <cell r="A864">
            <v>38755</v>
          </cell>
        </row>
        <row r="865">
          <cell r="A865">
            <v>38756</v>
          </cell>
        </row>
        <row r="866">
          <cell r="A866">
            <v>38757</v>
          </cell>
        </row>
        <row r="867">
          <cell r="A867">
            <v>38758</v>
          </cell>
        </row>
        <row r="868">
          <cell r="A868">
            <v>38759</v>
          </cell>
        </row>
        <row r="869">
          <cell r="A869">
            <v>38760</v>
          </cell>
        </row>
        <row r="870">
          <cell r="A870">
            <v>38761</v>
          </cell>
        </row>
        <row r="871">
          <cell r="A871">
            <v>38762</v>
          </cell>
        </row>
        <row r="872">
          <cell r="A872">
            <v>38763</v>
          </cell>
        </row>
        <row r="873">
          <cell r="A873">
            <v>38764</v>
          </cell>
        </row>
        <row r="874">
          <cell r="A874">
            <v>38765</v>
          </cell>
        </row>
        <row r="875">
          <cell r="A875">
            <v>38766</v>
          </cell>
        </row>
        <row r="876">
          <cell r="A876">
            <v>38767</v>
          </cell>
        </row>
        <row r="877">
          <cell r="A877">
            <v>38768</v>
          </cell>
        </row>
        <row r="878">
          <cell r="A878">
            <v>38769</v>
          </cell>
        </row>
        <row r="879">
          <cell r="A879">
            <v>38770</v>
          </cell>
        </row>
        <row r="880">
          <cell r="A880">
            <v>38771</v>
          </cell>
        </row>
        <row r="881">
          <cell r="A881">
            <v>38772</v>
          </cell>
        </row>
        <row r="882">
          <cell r="A882">
            <v>38773</v>
          </cell>
        </row>
        <row r="883">
          <cell r="A883">
            <v>38774</v>
          </cell>
        </row>
        <row r="884">
          <cell r="A884">
            <v>38775</v>
          </cell>
        </row>
        <row r="885">
          <cell r="A885">
            <v>38776</v>
          </cell>
        </row>
        <row r="886">
          <cell r="A886">
            <v>38777</v>
          </cell>
        </row>
        <row r="887">
          <cell r="A887">
            <v>38778</v>
          </cell>
        </row>
        <row r="888">
          <cell r="A888">
            <v>38779</v>
          </cell>
        </row>
        <row r="889">
          <cell r="A889">
            <v>38780</v>
          </cell>
        </row>
        <row r="890">
          <cell r="A890">
            <v>38781</v>
          </cell>
        </row>
        <row r="891">
          <cell r="A891">
            <v>38782</v>
          </cell>
        </row>
        <row r="892">
          <cell r="A892">
            <v>38783</v>
          </cell>
        </row>
        <row r="893">
          <cell r="A893">
            <v>38784</v>
          </cell>
        </row>
        <row r="894">
          <cell r="A894">
            <v>38785</v>
          </cell>
        </row>
        <row r="895">
          <cell r="A895">
            <v>38786</v>
          </cell>
        </row>
        <row r="896">
          <cell r="A896">
            <v>38787</v>
          </cell>
        </row>
        <row r="897">
          <cell r="A897">
            <v>38788</v>
          </cell>
        </row>
        <row r="898">
          <cell r="A898">
            <v>38789</v>
          </cell>
        </row>
        <row r="899">
          <cell r="A899">
            <v>38790</v>
          </cell>
        </row>
        <row r="900">
          <cell r="A900">
            <v>38791</v>
          </cell>
        </row>
        <row r="901">
          <cell r="A901">
            <v>38792</v>
          </cell>
        </row>
        <row r="902">
          <cell r="A902">
            <v>38793</v>
          </cell>
        </row>
        <row r="903">
          <cell r="A903">
            <v>38794</v>
          </cell>
        </row>
        <row r="904">
          <cell r="A904">
            <v>38795</v>
          </cell>
        </row>
        <row r="905">
          <cell r="A905">
            <v>38796</v>
          </cell>
        </row>
        <row r="906">
          <cell r="A906">
            <v>38797</v>
          </cell>
        </row>
        <row r="907">
          <cell r="A907">
            <v>38798</v>
          </cell>
        </row>
        <row r="908">
          <cell r="A908">
            <v>38799</v>
          </cell>
        </row>
        <row r="909">
          <cell r="A909">
            <v>38800</v>
          </cell>
        </row>
        <row r="910">
          <cell r="A910">
            <v>38801</v>
          </cell>
        </row>
        <row r="911">
          <cell r="A911">
            <v>38802</v>
          </cell>
        </row>
        <row r="912">
          <cell r="A912">
            <v>38803</v>
          </cell>
        </row>
        <row r="913">
          <cell r="A913">
            <v>38804</v>
          </cell>
        </row>
        <row r="914">
          <cell r="A914">
            <v>38805</v>
          </cell>
        </row>
        <row r="915">
          <cell r="A915">
            <v>38806</v>
          </cell>
        </row>
        <row r="916">
          <cell r="A916">
            <v>38807</v>
          </cell>
        </row>
        <row r="917">
          <cell r="A917">
            <v>38808</v>
          </cell>
        </row>
        <row r="918">
          <cell r="A918">
            <v>38809</v>
          </cell>
        </row>
        <row r="919">
          <cell r="A919">
            <v>38810</v>
          </cell>
        </row>
        <row r="920">
          <cell r="A920">
            <v>38811</v>
          </cell>
        </row>
        <row r="921">
          <cell r="A921">
            <v>38812</v>
          </cell>
        </row>
        <row r="922">
          <cell r="A922">
            <v>38813</v>
          </cell>
        </row>
        <row r="923">
          <cell r="A923">
            <v>38814</v>
          </cell>
        </row>
        <row r="924">
          <cell r="A924">
            <v>38815</v>
          </cell>
        </row>
        <row r="925">
          <cell r="A925">
            <v>38816</v>
          </cell>
        </row>
        <row r="926">
          <cell r="A926">
            <v>38817</v>
          </cell>
        </row>
        <row r="927">
          <cell r="A927">
            <v>38818</v>
          </cell>
        </row>
        <row r="928">
          <cell r="A928">
            <v>38819</v>
          </cell>
        </row>
        <row r="929">
          <cell r="A929">
            <v>38820</v>
          </cell>
        </row>
        <row r="930">
          <cell r="A930">
            <v>38821</v>
          </cell>
        </row>
        <row r="931">
          <cell r="A931">
            <v>38822</v>
          </cell>
        </row>
        <row r="932">
          <cell r="A932">
            <v>38823</v>
          </cell>
        </row>
        <row r="933">
          <cell r="A933">
            <v>38824</v>
          </cell>
        </row>
        <row r="934">
          <cell r="A934">
            <v>38825</v>
          </cell>
        </row>
        <row r="935">
          <cell r="A935">
            <v>38826</v>
          </cell>
        </row>
        <row r="936">
          <cell r="A936">
            <v>38827</v>
          </cell>
        </row>
        <row r="937">
          <cell r="A937">
            <v>38828</v>
          </cell>
        </row>
        <row r="938">
          <cell r="A938">
            <v>38829</v>
          </cell>
        </row>
        <row r="939">
          <cell r="A939">
            <v>38830</v>
          </cell>
        </row>
        <row r="940">
          <cell r="A940">
            <v>38831</v>
          </cell>
        </row>
        <row r="941">
          <cell r="A941">
            <v>38832</v>
          </cell>
        </row>
        <row r="942">
          <cell r="A942">
            <v>38833</v>
          </cell>
        </row>
        <row r="943">
          <cell r="A943">
            <v>38834</v>
          </cell>
        </row>
        <row r="944">
          <cell r="A944">
            <v>38835</v>
          </cell>
        </row>
        <row r="945">
          <cell r="A945">
            <v>38836</v>
          </cell>
        </row>
        <row r="946">
          <cell r="A946">
            <v>38837</v>
          </cell>
        </row>
        <row r="947">
          <cell r="A947">
            <v>38838</v>
          </cell>
        </row>
        <row r="948">
          <cell r="A948">
            <v>38839</v>
          </cell>
        </row>
        <row r="949">
          <cell r="A949">
            <v>38840</v>
          </cell>
        </row>
        <row r="950">
          <cell r="A950">
            <v>38841</v>
          </cell>
        </row>
        <row r="951">
          <cell r="A951">
            <v>38842</v>
          </cell>
        </row>
        <row r="952">
          <cell r="A952">
            <v>38843</v>
          </cell>
        </row>
        <row r="953">
          <cell r="A953">
            <v>38844</v>
          </cell>
        </row>
        <row r="954">
          <cell r="A954">
            <v>38845</v>
          </cell>
        </row>
        <row r="955">
          <cell r="A955">
            <v>38846</v>
          </cell>
        </row>
        <row r="956">
          <cell r="A956">
            <v>38847</v>
          </cell>
        </row>
        <row r="957">
          <cell r="A957">
            <v>38848</v>
          </cell>
        </row>
        <row r="958">
          <cell r="A958">
            <v>38849</v>
          </cell>
        </row>
        <row r="959">
          <cell r="A959">
            <v>38850</v>
          </cell>
        </row>
        <row r="960">
          <cell r="A960">
            <v>38851</v>
          </cell>
        </row>
        <row r="961">
          <cell r="A961">
            <v>38852</v>
          </cell>
        </row>
        <row r="962">
          <cell r="A962">
            <v>38853</v>
          </cell>
        </row>
        <row r="963">
          <cell r="A963">
            <v>38854</v>
          </cell>
        </row>
        <row r="964">
          <cell r="A964">
            <v>38855</v>
          </cell>
        </row>
        <row r="965">
          <cell r="A965">
            <v>38856</v>
          </cell>
        </row>
        <row r="966">
          <cell r="A966">
            <v>38857</v>
          </cell>
        </row>
        <row r="967">
          <cell r="A967">
            <v>38858</v>
          </cell>
        </row>
        <row r="968">
          <cell r="A968">
            <v>38859</v>
          </cell>
        </row>
        <row r="969">
          <cell r="A969">
            <v>38860</v>
          </cell>
        </row>
        <row r="970">
          <cell r="A970">
            <v>38861</v>
          </cell>
        </row>
        <row r="971">
          <cell r="A971">
            <v>38862</v>
          </cell>
        </row>
        <row r="972">
          <cell r="A972">
            <v>38863</v>
          </cell>
        </row>
        <row r="973">
          <cell r="A973">
            <v>38864</v>
          </cell>
        </row>
        <row r="974">
          <cell r="A974">
            <v>38865</v>
          </cell>
        </row>
        <row r="975">
          <cell r="A975">
            <v>38866</v>
          </cell>
        </row>
        <row r="976">
          <cell r="A976">
            <v>38867</v>
          </cell>
        </row>
        <row r="977">
          <cell r="A977">
            <v>38868</v>
          </cell>
        </row>
        <row r="978">
          <cell r="A978">
            <v>38869</v>
          </cell>
        </row>
        <row r="979">
          <cell r="A979">
            <v>38870</v>
          </cell>
        </row>
        <row r="980">
          <cell r="A980">
            <v>38871</v>
          </cell>
        </row>
        <row r="981">
          <cell r="A981">
            <v>38872</v>
          </cell>
        </row>
        <row r="982">
          <cell r="A982">
            <v>38873</v>
          </cell>
        </row>
        <row r="983">
          <cell r="A983">
            <v>38874</v>
          </cell>
        </row>
        <row r="984">
          <cell r="A984">
            <v>38875</v>
          </cell>
        </row>
        <row r="985">
          <cell r="A985">
            <v>38876</v>
          </cell>
        </row>
        <row r="986">
          <cell r="A986">
            <v>38877</v>
          </cell>
        </row>
        <row r="987">
          <cell r="A987">
            <v>38878</v>
          </cell>
        </row>
        <row r="988">
          <cell r="A988">
            <v>38879</v>
          </cell>
        </row>
        <row r="989">
          <cell r="A989">
            <v>38880</v>
          </cell>
        </row>
        <row r="990">
          <cell r="A990">
            <v>38881</v>
          </cell>
        </row>
        <row r="991">
          <cell r="A991">
            <v>38882</v>
          </cell>
        </row>
        <row r="992">
          <cell r="A992">
            <v>38883</v>
          </cell>
        </row>
        <row r="993">
          <cell r="A993">
            <v>38884</v>
          </cell>
        </row>
        <row r="994">
          <cell r="A994">
            <v>38885</v>
          </cell>
        </row>
        <row r="995">
          <cell r="A995">
            <v>38886</v>
          </cell>
        </row>
        <row r="996">
          <cell r="A996">
            <v>38887</v>
          </cell>
        </row>
        <row r="997">
          <cell r="A997">
            <v>38888</v>
          </cell>
        </row>
        <row r="998">
          <cell r="A998">
            <v>38889</v>
          </cell>
        </row>
        <row r="999">
          <cell r="A999">
            <v>38890</v>
          </cell>
        </row>
        <row r="1000">
          <cell r="A1000">
            <v>38891</v>
          </cell>
        </row>
        <row r="1001">
          <cell r="A1001">
            <v>38892</v>
          </cell>
        </row>
        <row r="1002">
          <cell r="A1002">
            <v>38893</v>
          </cell>
        </row>
        <row r="1003">
          <cell r="A1003">
            <v>38894</v>
          </cell>
        </row>
        <row r="1004">
          <cell r="A1004">
            <v>38895</v>
          </cell>
        </row>
        <row r="1005">
          <cell r="A1005">
            <v>38896</v>
          </cell>
        </row>
        <row r="1006">
          <cell r="A1006">
            <v>38897</v>
          </cell>
        </row>
        <row r="1007">
          <cell r="A1007">
            <v>38898</v>
          </cell>
        </row>
        <row r="1008">
          <cell r="A1008">
            <v>38899</v>
          </cell>
        </row>
        <row r="1009">
          <cell r="A1009">
            <v>38900</v>
          </cell>
        </row>
        <row r="1010">
          <cell r="A1010">
            <v>38901</v>
          </cell>
        </row>
        <row r="1011">
          <cell r="A1011">
            <v>38902</v>
          </cell>
        </row>
        <row r="1012">
          <cell r="A1012">
            <v>38903</v>
          </cell>
        </row>
        <row r="1013">
          <cell r="A1013">
            <v>38904</v>
          </cell>
        </row>
        <row r="1014">
          <cell r="A1014">
            <v>38905</v>
          </cell>
        </row>
        <row r="1015">
          <cell r="A1015">
            <v>38906</v>
          </cell>
        </row>
        <row r="1016">
          <cell r="A1016">
            <v>38907</v>
          </cell>
        </row>
        <row r="1017">
          <cell r="A1017">
            <v>38908</v>
          </cell>
        </row>
        <row r="1018">
          <cell r="A1018">
            <v>38909</v>
          </cell>
        </row>
        <row r="1019">
          <cell r="A1019">
            <v>38910</v>
          </cell>
        </row>
        <row r="1020">
          <cell r="A1020">
            <v>38911</v>
          </cell>
        </row>
        <row r="1021">
          <cell r="A1021">
            <v>38912</v>
          </cell>
        </row>
        <row r="1022">
          <cell r="A1022">
            <v>38913</v>
          </cell>
        </row>
        <row r="1023">
          <cell r="A1023">
            <v>38914</v>
          </cell>
        </row>
        <row r="1024">
          <cell r="A1024">
            <v>38915</v>
          </cell>
        </row>
        <row r="1025">
          <cell r="A1025">
            <v>38916</v>
          </cell>
        </row>
        <row r="1026">
          <cell r="A1026">
            <v>38917</v>
          </cell>
        </row>
        <row r="1027">
          <cell r="A1027">
            <v>38918</v>
          </cell>
        </row>
        <row r="1028">
          <cell r="A1028">
            <v>38919</v>
          </cell>
        </row>
        <row r="1029">
          <cell r="A1029">
            <v>38920</v>
          </cell>
        </row>
        <row r="1030">
          <cell r="A1030">
            <v>38921</v>
          </cell>
        </row>
        <row r="1031">
          <cell r="A1031">
            <v>38922</v>
          </cell>
        </row>
        <row r="1032">
          <cell r="A1032">
            <v>38923</v>
          </cell>
        </row>
        <row r="1033">
          <cell r="A1033">
            <v>38924</v>
          </cell>
        </row>
        <row r="1034">
          <cell r="A1034">
            <v>38925</v>
          </cell>
        </row>
        <row r="1035">
          <cell r="A1035">
            <v>38926</v>
          </cell>
        </row>
        <row r="1036">
          <cell r="A1036">
            <v>38927</v>
          </cell>
        </row>
        <row r="1037">
          <cell r="A1037">
            <v>38928</v>
          </cell>
        </row>
        <row r="1038">
          <cell r="A1038">
            <v>38929</v>
          </cell>
        </row>
        <row r="1039">
          <cell r="A1039">
            <v>38930</v>
          </cell>
        </row>
        <row r="1040">
          <cell r="A1040">
            <v>38931</v>
          </cell>
        </row>
        <row r="1041">
          <cell r="A1041">
            <v>38932</v>
          </cell>
        </row>
        <row r="1042">
          <cell r="A1042">
            <v>38933</v>
          </cell>
        </row>
        <row r="1043">
          <cell r="A1043">
            <v>38934</v>
          </cell>
        </row>
        <row r="1044">
          <cell r="A1044">
            <v>38935</v>
          </cell>
        </row>
        <row r="1045">
          <cell r="A1045">
            <v>38936</v>
          </cell>
        </row>
        <row r="1046">
          <cell r="A1046">
            <v>38937</v>
          </cell>
        </row>
        <row r="1047">
          <cell r="A1047">
            <v>38938</v>
          </cell>
        </row>
        <row r="1048">
          <cell r="A1048">
            <v>38939</v>
          </cell>
        </row>
        <row r="1049">
          <cell r="A1049">
            <v>38940</v>
          </cell>
        </row>
        <row r="1050">
          <cell r="A1050">
            <v>38941</v>
          </cell>
        </row>
        <row r="1051">
          <cell r="A1051">
            <v>38942</v>
          </cell>
        </row>
        <row r="1052">
          <cell r="A1052">
            <v>38943</v>
          </cell>
        </row>
        <row r="1053">
          <cell r="A1053">
            <v>38944</v>
          </cell>
        </row>
        <row r="1054">
          <cell r="A1054">
            <v>38945</v>
          </cell>
        </row>
        <row r="1055">
          <cell r="A1055">
            <v>38946</v>
          </cell>
        </row>
        <row r="1056">
          <cell r="A1056">
            <v>38947</v>
          </cell>
        </row>
        <row r="1057">
          <cell r="A1057">
            <v>38948</v>
          </cell>
        </row>
        <row r="1058">
          <cell r="A1058">
            <v>38949</v>
          </cell>
        </row>
        <row r="1059">
          <cell r="A1059">
            <v>38950</v>
          </cell>
        </row>
        <row r="1060">
          <cell r="A1060">
            <v>38951</v>
          </cell>
        </row>
        <row r="1061">
          <cell r="A1061">
            <v>38952</v>
          </cell>
        </row>
        <row r="1062">
          <cell r="A1062">
            <v>38953</v>
          </cell>
        </row>
        <row r="1063">
          <cell r="A1063">
            <v>38954</v>
          </cell>
        </row>
        <row r="1064">
          <cell r="A1064">
            <v>38955</v>
          </cell>
        </row>
        <row r="1065">
          <cell r="A1065">
            <v>38956</v>
          </cell>
        </row>
        <row r="1066">
          <cell r="A1066">
            <v>38957</v>
          </cell>
        </row>
        <row r="1067">
          <cell r="A1067">
            <v>38958</v>
          </cell>
        </row>
        <row r="1068">
          <cell r="A1068">
            <v>38959</v>
          </cell>
        </row>
        <row r="1069">
          <cell r="A1069">
            <v>38960</v>
          </cell>
        </row>
        <row r="1070">
          <cell r="A1070">
            <v>38961</v>
          </cell>
        </row>
        <row r="1071">
          <cell r="A1071">
            <v>38962</v>
          </cell>
        </row>
        <row r="1072">
          <cell r="A1072">
            <v>38963</v>
          </cell>
        </row>
        <row r="1073">
          <cell r="A1073">
            <v>38964</v>
          </cell>
        </row>
        <row r="1074">
          <cell r="A1074">
            <v>38965</v>
          </cell>
        </row>
        <row r="1075">
          <cell r="A1075">
            <v>38966</v>
          </cell>
        </row>
        <row r="1076">
          <cell r="A1076">
            <v>38967</v>
          </cell>
        </row>
        <row r="1077">
          <cell r="A1077">
            <v>38968</v>
          </cell>
        </row>
        <row r="1078">
          <cell r="A1078">
            <v>38969</v>
          </cell>
        </row>
        <row r="1079">
          <cell r="A1079">
            <v>38970</v>
          </cell>
        </row>
        <row r="1080">
          <cell r="A1080">
            <v>38971</v>
          </cell>
        </row>
        <row r="1081">
          <cell r="A1081">
            <v>38972</v>
          </cell>
        </row>
        <row r="1082">
          <cell r="A1082">
            <v>38973</v>
          </cell>
        </row>
        <row r="1083">
          <cell r="A1083">
            <v>38974</v>
          </cell>
        </row>
        <row r="1084">
          <cell r="A1084">
            <v>38975</v>
          </cell>
        </row>
        <row r="1085">
          <cell r="A1085">
            <v>38976</v>
          </cell>
        </row>
        <row r="1086">
          <cell r="A1086">
            <v>38977</v>
          </cell>
        </row>
        <row r="1087">
          <cell r="A1087">
            <v>38978</v>
          </cell>
        </row>
        <row r="1088">
          <cell r="A1088">
            <v>38979</v>
          </cell>
        </row>
        <row r="1089">
          <cell r="A1089">
            <v>38980</v>
          </cell>
        </row>
        <row r="1090">
          <cell r="A1090">
            <v>38981</v>
          </cell>
        </row>
        <row r="1091">
          <cell r="A1091">
            <v>38982</v>
          </cell>
        </row>
        <row r="1092">
          <cell r="A1092">
            <v>38983</v>
          </cell>
        </row>
        <row r="1093">
          <cell r="A1093">
            <v>38984</v>
          </cell>
        </row>
        <row r="1094">
          <cell r="A1094">
            <v>38985</v>
          </cell>
        </row>
        <row r="1095">
          <cell r="A1095">
            <v>38986</v>
          </cell>
        </row>
        <row r="1096">
          <cell r="A1096">
            <v>38987</v>
          </cell>
        </row>
        <row r="1097">
          <cell r="A1097">
            <v>38988</v>
          </cell>
        </row>
        <row r="1098">
          <cell r="A1098">
            <v>38989</v>
          </cell>
        </row>
        <row r="1099">
          <cell r="A1099">
            <v>38990</v>
          </cell>
        </row>
        <row r="1100">
          <cell r="A1100">
            <v>38991</v>
          </cell>
        </row>
        <row r="1101">
          <cell r="A1101">
            <v>38992</v>
          </cell>
        </row>
        <row r="1102">
          <cell r="A1102">
            <v>38993</v>
          </cell>
        </row>
        <row r="1103">
          <cell r="A1103">
            <v>38994</v>
          </cell>
        </row>
        <row r="1104">
          <cell r="A1104">
            <v>38995</v>
          </cell>
        </row>
        <row r="1105">
          <cell r="A1105">
            <v>38996</v>
          </cell>
        </row>
        <row r="1106">
          <cell r="A1106">
            <v>38997</v>
          </cell>
        </row>
        <row r="1107">
          <cell r="A1107">
            <v>38998</v>
          </cell>
        </row>
        <row r="1108">
          <cell r="A1108">
            <v>38999</v>
          </cell>
        </row>
        <row r="1109">
          <cell r="A1109">
            <v>39000</v>
          </cell>
        </row>
        <row r="1110">
          <cell r="A1110">
            <v>39001</v>
          </cell>
        </row>
        <row r="1111">
          <cell r="A1111">
            <v>39002</v>
          </cell>
        </row>
        <row r="1112">
          <cell r="A1112">
            <v>39003</v>
          </cell>
        </row>
        <row r="1113">
          <cell r="A1113">
            <v>39004</v>
          </cell>
        </row>
        <row r="1114">
          <cell r="A1114">
            <v>39005</v>
          </cell>
        </row>
        <row r="1115">
          <cell r="A1115">
            <v>39006</v>
          </cell>
        </row>
        <row r="1116">
          <cell r="A1116">
            <v>39007</v>
          </cell>
        </row>
        <row r="1117">
          <cell r="A1117">
            <v>39008</v>
          </cell>
        </row>
        <row r="1118">
          <cell r="A1118">
            <v>39009</v>
          </cell>
        </row>
        <row r="1119">
          <cell r="A1119">
            <v>39010</v>
          </cell>
        </row>
        <row r="1120">
          <cell r="A1120">
            <v>39011</v>
          </cell>
        </row>
        <row r="1121">
          <cell r="A1121">
            <v>39012</v>
          </cell>
        </row>
        <row r="1122">
          <cell r="A1122">
            <v>39013</v>
          </cell>
        </row>
        <row r="1123">
          <cell r="A1123">
            <v>39014</v>
          </cell>
        </row>
        <row r="1124">
          <cell r="A1124">
            <v>39015</v>
          </cell>
        </row>
        <row r="1125">
          <cell r="A1125">
            <v>39016</v>
          </cell>
        </row>
        <row r="1126">
          <cell r="A1126">
            <v>39017</v>
          </cell>
        </row>
        <row r="1127">
          <cell r="A1127">
            <v>39018</v>
          </cell>
        </row>
        <row r="1128">
          <cell r="A1128">
            <v>39019</v>
          </cell>
        </row>
        <row r="1129">
          <cell r="A1129">
            <v>39020</v>
          </cell>
        </row>
        <row r="1130">
          <cell r="A1130">
            <v>39021</v>
          </cell>
        </row>
        <row r="1131">
          <cell r="A1131">
            <v>39022</v>
          </cell>
        </row>
        <row r="1132">
          <cell r="A1132">
            <v>39023</v>
          </cell>
        </row>
        <row r="1133">
          <cell r="A1133">
            <v>39024</v>
          </cell>
        </row>
        <row r="1134">
          <cell r="A1134">
            <v>39025</v>
          </cell>
        </row>
        <row r="1135">
          <cell r="A1135">
            <v>39026</v>
          </cell>
        </row>
        <row r="1136">
          <cell r="A1136">
            <v>39027</v>
          </cell>
        </row>
        <row r="1137">
          <cell r="A1137">
            <v>39028</v>
          </cell>
        </row>
        <row r="1138">
          <cell r="A1138">
            <v>39029</v>
          </cell>
        </row>
        <row r="1139">
          <cell r="A1139">
            <v>39030</v>
          </cell>
        </row>
        <row r="1140">
          <cell r="A1140">
            <v>39031</v>
          </cell>
        </row>
        <row r="1141">
          <cell r="A1141">
            <v>39032</v>
          </cell>
        </row>
        <row r="1142">
          <cell r="A1142">
            <v>39033</v>
          </cell>
        </row>
        <row r="1143">
          <cell r="A1143">
            <v>39034</v>
          </cell>
        </row>
        <row r="1144">
          <cell r="A1144">
            <v>39035</v>
          </cell>
        </row>
        <row r="1145">
          <cell r="A1145">
            <v>39036</v>
          </cell>
        </row>
        <row r="1146">
          <cell r="A1146">
            <v>39037</v>
          </cell>
        </row>
        <row r="1147">
          <cell r="A1147">
            <v>39038</v>
          </cell>
        </row>
        <row r="1148">
          <cell r="A1148">
            <v>39039</v>
          </cell>
        </row>
        <row r="1149">
          <cell r="A1149">
            <v>39040</v>
          </cell>
        </row>
        <row r="1150">
          <cell r="A1150">
            <v>39041</v>
          </cell>
        </row>
        <row r="1151">
          <cell r="A1151">
            <v>39042</v>
          </cell>
        </row>
        <row r="1152">
          <cell r="A1152">
            <v>39043</v>
          </cell>
        </row>
        <row r="1153">
          <cell r="A1153">
            <v>39044</v>
          </cell>
        </row>
        <row r="1154">
          <cell r="A1154">
            <v>39045</v>
          </cell>
        </row>
        <row r="1155">
          <cell r="A1155">
            <v>39046</v>
          </cell>
        </row>
        <row r="1156">
          <cell r="A1156">
            <v>39047</v>
          </cell>
        </row>
        <row r="1157">
          <cell r="A1157">
            <v>39048</v>
          </cell>
        </row>
        <row r="1158">
          <cell r="A1158">
            <v>39049</v>
          </cell>
        </row>
        <row r="1159">
          <cell r="A1159">
            <v>39050</v>
          </cell>
        </row>
        <row r="1160">
          <cell r="A1160">
            <v>39051</v>
          </cell>
        </row>
        <row r="1161">
          <cell r="A1161">
            <v>39052</v>
          </cell>
        </row>
        <row r="1162">
          <cell r="A1162">
            <v>39053</v>
          </cell>
        </row>
        <row r="1163">
          <cell r="A1163">
            <v>39054</v>
          </cell>
        </row>
        <row r="1164">
          <cell r="A1164">
            <v>39055</v>
          </cell>
        </row>
        <row r="1165">
          <cell r="A1165">
            <v>39056</v>
          </cell>
        </row>
        <row r="1166">
          <cell r="A1166">
            <v>39057</v>
          </cell>
        </row>
        <row r="1167">
          <cell r="A1167">
            <v>39058</v>
          </cell>
        </row>
        <row r="1168">
          <cell r="A1168">
            <v>39059</v>
          </cell>
        </row>
        <row r="1169">
          <cell r="A1169">
            <v>39060</v>
          </cell>
        </row>
        <row r="1170">
          <cell r="A1170">
            <v>39061</v>
          </cell>
        </row>
        <row r="1171">
          <cell r="A1171">
            <v>39062</v>
          </cell>
        </row>
        <row r="1172">
          <cell r="A1172">
            <v>39063</v>
          </cell>
        </row>
        <row r="1173">
          <cell r="A1173">
            <v>39064</v>
          </cell>
        </row>
        <row r="1174">
          <cell r="A1174">
            <v>39065</v>
          </cell>
        </row>
        <row r="1175">
          <cell r="A1175">
            <v>39066</v>
          </cell>
        </row>
        <row r="1176">
          <cell r="A1176">
            <v>39067</v>
          </cell>
        </row>
        <row r="1177">
          <cell r="A1177">
            <v>39068</v>
          </cell>
        </row>
        <row r="1178">
          <cell r="A1178">
            <v>39069</v>
          </cell>
        </row>
        <row r="1179">
          <cell r="A1179">
            <v>39070</v>
          </cell>
        </row>
        <row r="1180">
          <cell r="A1180">
            <v>39071</v>
          </cell>
        </row>
        <row r="1181">
          <cell r="A1181">
            <v>39072</v>
          </cell>
        </row>
        <row r="1182">
          <cell r="A1182">
            <v>39073</v>
          </cell>
        </row>
        <row r="1183">
          <cell r="A1183">
            <v>39074</v>
          </cell>
        </row>
        <row r="1184">
          <cell r="A1184">
            <v>39075</v>
          </cell>
        </row>
        <row r="1185">
          <cell r="A1185">
            <v>39076</v>
          </cell>
        </row>
        <row r="1186">
          <cell r="A1186">
            <v>39077</v>
          </cell>
        </row>
        <row r="1187">
          <cell r="A1187">
            <v>39078</v>
          </cell>
        </row>
        <row r="1188">
          <cell r="A1188">
            <v>39079</v>
          </cell>
        </row>
        <row r="1189">
          <cell r="A1189">
            <v>39080</v>
          </cell>
        </row>
        <row r="1190">
          <cell r="A1190">
            <v>39081</v>
          </cell>
        </row>
        <row r="1191">
          <cell r="A1191">
            <v>39082</v>
          </cell>
        </row>
        <row r="1192">
          <cell r="A1192">
            <v>39083</v>
          </cell>
        </row>
        <row r="1193">
          <cell r="A1193">
            <v>39084</v>
          </cell>
        </row>
        <row r="1194">
          <cell r="A1194">
            <v>39085</v>
          </cell>
        </row>
        <row r="1195">
          <cell r="A1195">
            <v>39086</v>
          </cell>
        </row>
        <row r="1196">
          <cell r="A1196">
            <v>39087</v>
          </cell>
        </row>
        <row r="1197">
          <cell r="A1197">
            <v>39088</v>
          </cell>
        </row>
        <row r="1198">
          <cell r="A1198">
            <v>39089</v>
          </cell>
        </row>
        <row r="1199">
          <cell r="A1199">
            <v>39090</v>
          </cell>
        </row>
        <row r="1200">
          <cell r="A1200">
            <v>39091</v>
          </cell>
        </row>
        <row r="1201">
          <cell r="A1201">
            <v>39092</v>
          </cell>
        </row>
        <row r="1202">
          <cell r="A1202">
            <v>39093</v>
          </cell>
        </row>
        <row r="1203">
          <cell r="A1203">
            <v>39094</v>
          </cell>
        </row>
        <row r="1204">
          <cell r="A1204">
            <v>39095</v>
          </cell>
        </row>
        <row r="1205">
          <cell r="A1205">
            <v>39096</v>
          </cell>
        </row>
        <row r="1206">
          <cell r="A1206">
            <v>39097</v>
          </cell>
        </row>
        <row r="1207">
          <cell r="A1207">
            <v>39098</v>
          </cell>
        </row>
        <row r="1208">
          <cell r="A1208">
            <v>39099</v>
          </cell>
        </row>
        <row r="1209">
          <cell r="A1209">
            <v>39100</v>
          </cell>
        </row>
        <row r="1210">
          <cell r="A1210">
            <v>39101</v>
          </cell>
        </row>
        <row r="1211">
          <cell r="A1211">
            <v>39102</v>
          </cell>
        </row>
        <row r="1212">
          <cell r="A1212">
            <v>39103</v>
          </cell>
        </row>
        <row r="1213">
          <cell r="A1213">
            <v>39104</v>
          </cell>
        </row>
        <row r="1214">
          <cell r="A1214">
            <v>39105</v>
          </cell>
        </row>
        <row r="1215">
          <cell r="A1215">
            <v>39106</v>
          </cell>
        </row>
        <row r="1216">
          <cell r="A1216">
            <v>39107</v>
          </cell>
        </row>
        <row r="1217">
          <cell r="A1217">
            <v>39108</v>
          </cell>
        </row>
        <row r="1218">
          <cell r="A1218">
            <v>39109</v>
          </cell>
        </row>
        <row r="1219">
          <cell r="A1219">
            <v>39110</v>
          </cell>
        </row>
        <row r="1220">
          <cell r="A1220">
            <v>39111</v>
          </cell>
        </row>
        <row r="1221">
          <cell r="A1221">
            <v>39112</v>
          </cell>
        </row>
        <row r="1222">
          <cell r="A1222">
            <v>39113</v>
          </cell>
        </row>
        <row r="1223">
          <cell r="A1223">
            <v>39114</v>
          </cell>
        </row>
        <row r="1224">
          <cell r="A1224">
            <v>39115</v>
          </cell>
        </row>
        <row r="1225">
          <cell r="A1225">
            <v>39116</v>
          </cell>
        </row>
        <row r="1226">
          <cell r="A1226">
            <v>39117</v>
          </cell>
        </row>
        <row r="1227">
          <cell r="A1227">
            <v>39118</v>
          </cell>
        </row>
        <row r="1228">
          <cell r="A1228">
            <v>39119</v>
          </cell>
        </row>
        <row r="1229">
          <cell r="A1229">
            <v>39120</v>
          </cell>
        </row>
        <row r="1230">
          <cell r="A1230">
            <v>39121</v>
          </cell>
        </row>
        <row r="1231">
          <cell r="A1231">
            <v>39122</v>
          </cell>
        </row>
        <row r="1232">
          <cell r="A1232">
            <v>39123</v>
          </cell>
        </row>
        <row r="1233">
          <cell r="A1233">
            <v>39124</v>
          </cell>
        </row>
        <row r="1234">
          <cell r="A1234">
            <v>39125</v>
          </cell>
        </row>
        <row r="1235">
          <cell r="A1235">
            <v>39126</v>
          </cell>
        </row>
        <row r="1236">
          <cell r="A1236">
            <v>39127</v>
          </cell>
        </row>
        <row r="1237">
          <cell r="A1237">
            <v>39128</v>
          </cell>
        </row>
        <row r="1238">
          <cell r="A1238">
            <v>39129</v>
          </cell>
        </row>
        <row r="1239">
          <cell r="A1239">
            <v>39130</v>
          </cell>
        </row>
        <row r="1240">
          <cell r="A1240">
            <v>39131</v>
          </cell>
        </row>
        <row r="1241">
          <cell r="A1241">
            <v>39132</v>
          </cell>
        </row>
        <row r="1242">
          <cell r="A1242">
            <v>39133</v>
          </cell>
        </row>
        <row r="1243">
          <cell r="A1243">
            <v>39134</v>
          </cell>
        </row>
        <row r="1244">
          <cell r="A1244">
            <v>39135</v>
          </cell>
        </row>
        <row r="1245">
          <cell r="A1245">
            <v>39136</v>
          </cell>
        </row>
        <row r="1246">
          <cell r="A1246">
            <v>39137</v>
          </cell>
        </row>
        <row r="1247">
          <cell r="A1247">
            <v>39138</v>
          </cell>
        </row>
        <row r="1248">
          <cell r="A1248">
            <v>39139</v>
          </cell>
        </row>
        <row r="1249">
          <cell r="A1249">
            <v>39140</v>
          </cell>
        </row>
        <row r="1250">
          <cell r="A1250">
            <v>39141</v>
          </cell>
        </row>
        <row r="1251">
          <cell r="A1251">
            <v>39142</v>
          </cell>
        </row>
        <row r="1252">
          <cell r="A1252">
            <v>39143</v>
          </cell>
        </row>
        <row r="1253">
          <cell r="A1253">
            <v>39144</v>
          </cell>
        </row>
        <row r="1254">
          <cell r="A1254">
            <v>39145</v>
          </cell>
        </row>
        <row r="1255">
          <cell r="A1255">
            <v>39146</v>
          </cell>
        </row>
        <row r="1256">
          <cell r="A1256">
            <v>39147</v>
          </cell>
        </row>
        <row r="1257">
          <cell r="A1257">
            <v>39148</v>
          </cell>
        </row>
        <row r="1258">
          <cell r="A1258">
            <v>39149</v>
          </cell>
        </row>
        <row r="1259">
          <cell r="A1259">
            <v>39150</v>
          </cell>
        </row>
        <row r="1260">
          <cell r="A1260">
            <v>39151</v>
          </cell>
        </row>
        <row r="1261">
          <cell r="A1261">
            <v>39152</v>
          </cell>
        </row>
        <row r="1262">
          <cell r="A1262">
            <v>39153</v>
          </cell>
        </row>
        <row r="1263">
          <cell r="A1263">
            <v>39154</v>
          </cell>
        </row>
        <row r="1264">
          <cell r="A1264">
            <v>39155</v>
          </cell>
        </row>
        <row r="1265">
          <cell r="A1265">
            <v>39156</v>
          </cell>
        </row>
        <row r="1266">
          <cell r="A1266">
            <v>39157</v>
          </cell>
        </row>
        <row r="1267">
          <cell r="A1267">
            <v>39158</v>
          </cell>
        </row>
        <row r="1268">
          <cell r="A1268">
            <v>39159</v>
          </cell>
        </row>
        <row r="1269">
          <cell r="A1269">
            <v>39160</v>
          </cell>
        </row>
        <row r="1270">
          <cell r="A1270">
            <v>39161</v>
          </cell>
        </row>
        <row r="1271">
          <cell r="A1271">
            <v>39162</v>
          </cell>
        </row>
        <row r="1272">
          <cell r="A1272">
            <v>39163</v>
          </cell>
        </row>
        <row r="1273">
          <cell r="A1273">
            <v>39164</v>
          </cell>
        </row>
        <row r="1274">
          <cell r="A1274">
            <v>39165</v>
          </cell>
        </row>
        <row r="1275">
          <cell r="A1275">
            <v>39166</v>
          </cell>
        </row>
        <row r="1276">
          <cell r="A1276">
            <v>39167</v>
          </cell>
        </row>
        <row r="1277">
          <cell r="A1277">
            <v>39168</v>
          </cell>
        </row>
        <row r="1278">
          <cell r="A1278">
            <v>39169</v>
          </cell>
        </row>
        <row r="1279">
          <cell r="A1279">
            <v>39170</v>
          </cell>
        </row>
        <row r="1280">
          <cell r="A1280">
            <v>39171</v>
          </cell>
        </row>
        <row r="1281">
          <cell r="A1281">
            <v>39172</v>
          </cell>
        </row>
        <row r="1282">
          <cell r="A1282">
            <v>39173</v>
          </cell>
        </row>
        <row r="1283">
          <cell r="A1283">
            <v>39174</v>
          </cell>
        </row>
        <row r="1284">
          <cell r="A1284">
            <v>39175</v>
          </cell>
        </row>
        <row r="1285">
          <cell r="A1285">
            <v>39176</v>
          </cell>
        </row>
        <row r="1286">
          <cell r="A1286">
            <v>39177</v>
          </cell>
        </row>
        <row r="1287">
          <cell r="A1287">
            <v>39178</v>
          </cell>
        </row>
        <row r="1288">
          <cell r="A1288">
            <v>39179</v>
          </cell>
        </row>
        <row r="1289">
          <cell r="A1289">
            <v>39180</v>
          </cell>
        </row>
        <row r="1290">
          <cell r="A1290">
            <v>39181</v>
          </cell>
        </row>
        <row r="1291">
          <cell r="A1291">
            <v>39182</v>
          </cell>
        </row>
        <row r="1292">
          <cell r="A1292">
            <v>39183</v>
          </cell>
        </row>
        <row r="1293">
          <cell r="A1293">
            <v>39184</v>
          </cell>
        </row>
        <row r="1294">
          <cell r="A1294">
            <v>39185</v>
          </cell>
        </row>
        <row r="1295">
          <cell r="A1295">
            <v>39186</v>
          </cell>
        </row>
        <row r="1296">
          <cell r="A1296">
            <v>39187</v>
          </cell>
        </row>
        <row r="1297">
          <cell r="A1297">
            <v>39188</v>
          </cell>
        </row>
        <row r="1298">
          <cell r="A1298">
            <v>39189</v>
          </cell>
        </row>
        <row r="1299">
          <cell r="A1299">
            <v>39190</v>
          </cell>
        </row>
        <row r="1300">
          <cell r="A1300">
            <v>39191</v>
          </cell>
        </row>
        <row r="1301">
          <cell r="A1301">
            <v>39192</v>
          </cell>
        </row>
        <row r="1302">
          <cell r="A1302">
            <v>39193</v>
          </cell>
        </row>
        <row r="1303">
          <cell r="A1303">
            <v>39194</v>
          </cell>
        </row>
        <row r="1304">
          <cell r="A1304">
            <v>39195</v>
          </cell>
        </row>
        <row r="1305">
          <cell r="A1305">
            <v>39196</v>
          </cell>
        </row>
        <row r="1306">
          <cell r="A1306">
            <v>39197</v>
          </cell>
        </row>
        <row r="1307">
          <cell r="A1307">
            <v>39198</v>
          </cell>
        </row>
        <row r="1308">
          <cell r="A1308">
            <v>39199</v>
          </cell>
        </row>
        <row r="1309">
          <cell r="A1309">
            <v>39200</v>
          </cell>
        </row>
        <row r="1310">
          <cell r="A1310">
            <v>39201</v>
          </cell>
        </row>
        <row r="1311">
          <cell r="A1311">
            <v>39202</v>
          </cell>
        </row>
        <row r="1312">
          <cell r="A1312">
            <v>39203</v>
          </cell>
        </row>
        <row r="1313">
          <cell r="A1313">
            <v>39204</v>
          </cell>
        </row>
        <row r="1314">
          <cell r="A1314">
            <v>39205</v>
          </cell>
        </row>
        <row r="1315">
          <cell r="A1315">
            <v>39206</v>
          </cell>
        </row>
        <row r="1316">
          <cell r="A1316">
            <v>39207</v>
          </cell>
        </row>
        <row r="1317">
          <cell r="A1317">
            <v>39208</v>
          </cell>
        </row>
        <row r="1318">
          <cell r="A1318">
            <v>39209</v>
          </cell>
        </row>
        <row r="1319">
          <cell r="A1319">
            <v>39210</v>
          </cell>
        </row>
        <row r="1320">
          <cell r="A1320">
            <v>39211</v>
          </cell>
        </row>
        <row r="1321">
          <cell r="A1321">
            <v>39212</v>
          </cell>
        </row>
        <row r="1322">
          <cell r="A1322">
            <v>39213</v>
          </cell>
        </row>
        <row r="1323">
          <cell r="A1323">
            <v>39214</v>
          </cell>
        </row>
        <row r="1324">
          <cell r="A1324">
            <v>39215</v>
          </cell>
        </row>
        <row r="1325">
          <cell r="A1325">
            <v>39216</v>
          </cell>
        </row>
        <row r="1326">
          <cell r="A1326">
            <v>39217</v>
          </cell>
        </row>
        <row r="1327">
          <cell r="A1327">
            <v>39218</v>
          </cell>
        </row>
        <row r="1328">
          <cell r="A1328">
            <v>39219</v>
          </cell>
        </row>
        <row r="1329">
          <cell r="A1329">
            <v>39220</v>
          </cell>
        </row>
        <row r="1330">
          <cell r="A1330">
            <v>39221</v>
          </cell>
        </row>
        <row r="1331">
          <cell r="A1331">
            <v>39222</v>
          </cell>
        </row>
        <row r="1332">
          <cell r="A1332">
            <v>39223</v>
          </cell>
        </row>
        <row r="1333">
          <cell r="A1333">
            <v>39224</v>
          </cell>
        </row>
        <row r="1334">
          <cell r="A1334">
            <v>39225</v>
          </cell>
        </row>
        <row r="1335">
          <cell r="A1335">
            <v>39226</v>
          </cell>
        </row>
        <row r="1336">
          <cell r="A1336">
            <v>39227</v>
          </cell>
        </row>
        <row r="1337">
          <cell r="A1337">
            <v>39228</v>
          </cell>
        </row>
        <row r="1338">
          <cell r="A1338">
            <v>39229</v>
          </cell>
        </row>
        <row r="1339">
          <cell r="A1339">
            <v>39230</v>
          </cell>
        </row>
        <row r="1340">
          <cell r="A1340">
            <v>39231</v>
          </cell>
        </row>
        <row r="1341">
          <cell r="A1341">
            <v>39232</v>
          </cell>
        </row>
        <row r="1342">
          <cell r="A1342">
            <v>39233</v>
          </cell>
        </row>
        <row r="1343">
          <cell r="A1343">
            <v>39234</v>
          </cell>
        </row>
        <row r="1344">
          <cell r="A1344">
            <v>39235</v>
          </cell>
        </row>
        <row r="1345">
          <cell r="A1345">
            <v>39236</v>
          </cell>
        </row>
        <row r="1346">
          <cell r="A1346">
            <v>39237</v>
          </cell>
        </row>
        <row r="1347">
          <cell r="A1347">
            <v>39238</v>
          </cell>
        </row>
        <row r="1348">
          <cell r="A1348">
            <v>39239</v>
          </cell>
        </row>
        <row r="1349">
          <cell r="A1349">
            <v>39240</v>
          </cell>
        </row>
        <row r="1350">
          <cell r="A1350">
            <v>39241</v>
          </cell>
        </row>
        <row r="1351">
          <cell r="A1351">
            <v>39242</v>
          </cell>
        </row>
        <row r="1352">
          <cell r="A1352">
            <v>39243</v>
          </cell>
        </row>
        <row r="1353">
          <cell r="A1353">
            <v>39244</v>
          </cell>
        </row>
        <row r="1354">
          <cell r="A1354">
            <v>39245</v>
          </cell>
        </row>
        <row r="1355">
          <cell r="A1355">
            <v>39246</v>
          </cell>
        </row>
        <row r="1356">
          <cell r="A1356">
            <v>39247</v>
          </cell>
        </row>
        <row r="1357">
          <cell r="A1357">
            <v>39248</v>
          </cell>
        </row>
        <row r="1358">
          <cell r="A1358">
            <v>39249</v>
          </cell>
        </row>
        <row r="1359">
          <cell r="A1359">
            <v>39250</v>
          </cell>
        </row>
        <row r="1360">
          <cell r="A1360">
            <v>39251</v>
          </cell>
        </row>
        <row r="1361">
          <cell r="A1361">
            <v>39252</v>
          </cell>
        </row>
        <row r="1362">
          <cell r="A1362">
            <v>39253</v>
          </cell>
        </row>
        <row r="1363">
          <cell r="A1363">
            <v>39254</v>
          </cell>
        </row>
        <row r="1364">
          <cell r="A1364">
            <v>39255</v>
          </cell>
        </row>
        <row r="1365">
          <cell r="A1365">
            <v>39256</v>
          </cell>
        </row>
        <row r="1366">
          <cell r="A1366">
            <v>39257</v>
          </cell>
        </row>
        <row r="1367">
          <cell r="A1367">
            <v>39258</v>
          </cell>
        </row>
        <row r="1368">
          <cell r="A1368">
            <v>39259</v>
          </cell>
        </row>
        <row r="1369">
          <cell r="A1369">
            <v>39260</v>
          </cell>
        </row>
        <row r="1370">
          <cell r="A1370">
            <v>39261</v>
          </cell>
        </row>
        <row r="1371">
          <cell r="A1371">
            <v>39262</v>
          </cell>
        </row>
        <row r="1372">
          <cell r="A1372">
            <v>39263</v>
          </cell>
        </row>
        <row r="1373">
          <cell r="A1373">
            <v>39264</v>
          </cell>
        </row>
        <row r="1374">
          <cell r="A1374">
            <v>39265</v>
          </cell>
        </row>
        <row r="1375">
          <cell r="A1375">
            <v>39266</v>
          </cell>
        </row>
        <row r="1376">
          <cell r="A1376">
            <v>39267</v>
          </cell>
        </row>
        <row r="1377">
          <cell r="A1377">
            <v>39268</v>
          </cell>
        </row>
        <row r="1378">
          <cell r="A1378">
            <v>39269</v>
          </cell>
        </row>
        <row r="1379">
          <cell r="A1379">
            <v>39270</v>
          </cell>
        </row>
        <row r="1380">
          <cell r="A1380">
            <v>39271</v>
          </cell>
        </row>
        <row r="1381">
          <cell r="A1381">
            <v>39272</v>
          </cell>
        </row>
        <row r="1382">
          <cell r="A1382">
            <v>39273</v>
          </cell>
        </row>
        <row r="1383">
          <cell r="A1383">
            <v>39274</v>
          </cell>
        </row>
        <row r="1384">
          <cell r="A1384">
            <v>39275</v>
          </cell>
        </row>
        <row r="1385">
          <cell r="A1385">
            <v>39276</v>
          </cell>
        </row>
        <row r="1386">
          <cell r="A1386">
            <v>39277</v>
          </cell>
        </row>
        <row r="1387">
          <cell r="A1387">
            <v>39278</v>
          </cell>
        </row>
        <row r="1388">
          <cell r="A1388">
            <v>39279</v>
          </cell>
        </row>
        <row r="1389">
          <cell r="A1389">
            <v>39280</v>
          </cell>
        </row>
        <row r="1390">
          <cell r="A1390">
            <v>39281</v>
          </cell>
        </row>
        <row r="1391">
          <cell r="A1391">
            <v>39282</v>
          </cell>
        </row>
        <row r="1392">
          <cell r="A1392">
            <v>39283</v>
          </cell>
        </row>
        <row r="1393">
          <cell r="A1393">
            <v>39284</v>
          </cell>
        </row>
        <row r="1394">
          <cell r="A1394">
            <v>39285</v>
          </cell>
        </row>
        <row r="1395">
          <cell r="A1395">
            <v>39286</v>
          </cell>
        </row>
        <row r="1396">
          <cell r="A1396">
            <v>39287</v>
          </cell>
        </row>
        <row r="1397">
          <cell r="A1397">
            <v>39288</v>
          </cell>
        </row>
        <row r="1398">
          <cell r="A1398">
            <v>39289</v>
          </cell>
        </row>
        <row r="1399">
          <cell r="A1399">
            <v>39290</v>
          </cell>
        </row>
        <row r="1400">
          <cell r="A1400">
            <v>39291</v>
          </cell>
        </row>
        <row r="1401">
          <cell r="A1401">
            <v>39292</v>
          </cell>
        </row>
        <row r="1402">
          <cell r="A1402">
            <v>39293</v>
          </cell>
        </row>
        <row r="1403">
          <cell r="A1403">
            <v>39294</v>
          </cell>
        </row>
        <row r="1404">
          <cell r="A1404">
            <v>39295</v>
          </cell>
        </row>
        <row r="1405">
          <cell r="A1405">
            <v>39296</v>
          </cell>
        </row>
        <row r="1406">
          <cell r="A1406">
            <v>39297</v>
          </cell>
        </row>
        <row r="1407">
          <cell r="A1407">
            <v>39298</v>
          </cell>
        </row>
        <row r="1408">
          <cell r="A1408">
            <v>39299</v>
          </cell>
        </row>
        <row r="1409">
          <cell r="A1409">
            <v>39300</v>
          </cell>
        </row>
        <row r="1410">
          <cell r="A1410">
            <v>39301</v>
          </cell>
        </row>
        <row r="1411">
          <cell r="A1411">
            <v>39302</v>
          </cell>
        </row>
        <row r="1412">
          <cell r="A1412">
            <v>39303</v>
          </cell>
        </row>
        <row r="1413">
          <cell r="A1413">
            <v>39304</v>
          </cell>
        </row>
        <row r="1414">
          <cell r="A1414">
            <v>39305</v>
          </cell>
        </row>
        <row r="1415">
          <cell r="A1415">
            <v>39306</v>
          </cell>
        </row>
        <row r="1416">
          <cell r="A1416">
            <v>39307</v>
          </cell>
        </row>
        <row r="1417">
          <cell r="A1417">
            <v>39308</v>
          </cell>
        </row>
        <row r="1418">
          <cell r="A1418">
            <v>39309</v>
          </cell>
        </row>
        <row r="1419">
          <cell r="A1419">
            <v>39310</v>
          </cell>
        </row>
        <row r="1420">
          <cell r="A1420">
            <v>39311</v>
          </cell>
        </row>
        <row r="1421">
          <cell r="A1421">
            <v>39312</v>
          </cell>
        </row>
        <row r="1422">
          <cell r="A1422">
            <v>39313</v>
          </cell>
        </row>
        <row r="1423">
          <cell r="A1423">
            <v>39314</v>
          </cell>
        </row>
        <row r="1424">
          <cell r="A1424">
            <v>39315</v>
          </cell>
        </row>
        <row r="1425">
          <cell r="A1425">
            <v>39316</v>
          </cell>
        </row>
        <row r="1426">
          <cell r="A1426">
            <v>39317</v>
          </cell>
        </row>
        <row r="1427">
          <cell r="A1427">
            <v>39318</v>
          </cell>
        </row>
        <row r="1428">
          <cell r="A1428">
            <v>39319</v>
          </cell>
        </row>
        <row r="1429">
          <cell r="A1429">
            <v>39320</v>
          </cell>
        </row>
        <row r="1430">
          <cell r="A1430">
            <v>39321</v>
          </cell>
        </row>
        <row r="1431">
          <cell r="A1431">
            <v>39322</v>
          </cell>
        </row>
        <row r="1432">
          <cell r="A1432">
            <v>39323</v>
          </cell>
        </row>
        <row r="1433">
          <cell r="A1433">
            <v>39324</v>
          </cell>
        </row>
        <row r="1434">
          <cell r="A1434">
            <v>39325</v>
          </cell>
        </row>
        <row r="1435">
          <cell r="A1435">
            <v>39326</v>
          </cell>
        </row>
        <row r="1436">
          <cell r="A1436">
            <v>39327</v>
          </cell>
        </row>
        <row r="1437">
          <cell r="A1437">
            <v>39328</v>
          </cell>
        </row>
        <row r="1438">
          <cell r="A1438">
            <v>39329</v>
          </cell>
        </row>
        <row r="1439">
          <cell r="A1439">
            <v>39330</v>
          </cell>
        </row>
        <row r="1440">
          <cell r="A1440">
            <v>39331</v>
          </cell>
        </row>
        <row r="1441">
          <cell r="A1441">
            <v>39332</v>
          </cell>
        </row>
        <row r="1442">
          <cell r="A1442">
            <v>39333</v>
          </cell>
        </row>
        <row r="1443">
          <cell r="A1443">
            <v>39334</v>
          </cell>
        </row>
        <row r="1444">
          <cell r="A1444">
            <v>39335</v>
          </cell>
        </row>
        <row r="1445">
          <cell r="A1445">
            <v>39336</v>
          </cell>
        </row>
        <row r="1446">
          <cell r="A1446">
            <v>39337</v>
          </cell>
        </row>
        <row r="1447">
          <cell r="A1447">
            <v>39338</v>
          </cell>
        </row>
        <row r="1448">
          <cell r="A1448">
            <v>39339</v>
          </cell>
        </row>
        <row r="1449">
          <cell r="A1449">
            <v>39340</v>
          </cell>
        </row>
        <row r="1450">
          <cell r="A1450">
            <v>39341</v>
          </cell>
        </row>
        <row r="1451">
          <cell r="A1451">
            <v>39342</v>
          </cell>
        </row>
        <row r="1452">
          <cell r="A1452">
            <v>39343</v>
          </cell>
        </row>
        <row r="1453">
          <cell r="A1453">
            <v>39344</v>
          </cell>
        </row>
        <row r="1454">
          <cell r="A1454">
            <v>39345</v>
          </cell>
        </row>
        <row r="1455">
          <cell r="A1455">
            <v>39346</v>
          </cell>
        </row>
        <row r="1456">
          <cell r="A1456">
            <v>39347</v>
          </cell>
        </row>
        <row r="1457">
          <cell r="A1457">
            <v>39348</v>
          </cell>
        </row>
        <row r="1458">
          <cell r="A1458">
            <v>39349</v>
          </cell>
        </row>
        <row r="1459">
          <cell r="A1459">
            <v>39350</v>
          </cell>
        </row>
        <row r="1460">
          <cell r="A1460">
            <v>39351</v>
          </cell>
        </row>
        <row r="1461">
          <cell r="A1461">
            <v>39352</v>
          </cell>
        </row>
        <row r="1462">
          <cell r="A1462">
            <v>39353</v>
          </cell>
        </row>
        <row r="1463">
          <cell r="A1463">
            <v>39354</v>
          </cell>
        </row>
        <row r="1464">
          <cell r="A1464">
            <v>39355</v>
          </cell>
        </row>
        <row r="1465">
          <cell r="A1465">
            <v>39356</v>
          </cell>
        </row>
        <row r="1466">
          <cell r="A1466">
            <v>39357</v>
          </cell>
        </row>
        <row r="1467">
          <cell r="A1467">
            <v>39358</v>
          </cell>
        </row>
        <row r="1468">
          <cell r="A1468">
            <v>39359</v>
          </cell>
        </row>
        <row r="1469">
          <cell r="A1469">
            <v>39360</v>
          </cell>
        </row>
        <row r="1470">
          <cell r="A1470">
            <v>39361</v>
          </cell>
        </row>
        <row r="1471">
          <cell r="A1471">
            <v>39362</v>
          </cell>
        </row>
        <row r="1472">
          <cell r="A1472">
            <v>39363</v>
          </cell>
        </row>
        <row r="1473">
          <cell r="A1473">
            <v>39364</v>
          </cell>
        </row>
        <row r="1474">
          <cell r="A1474">
            <v>39365</v>
          </cell>
        </row>
        <row r="1475">
          <cell r="A1475">
            <v>39366</v>
          </cell>
        </row>
        <row r="1476">
          <cell r="A1476">
            <v>39367</v>
          </cell>
        </row>
        <row r="1477">
          <cell r="A1477">
            <v>39368</v>
          </cell>
        </row>
        <row r="1478">
          <cell r="A1478">
            <v>39369</v>
          </cell>
        </row>
        <row r="1479">
          <cell r="A1479">
            <v>39370</v>
          </cell>
        </row>
        <row r="1480">
          <cell r="A1480">
            <v>39371</v>
          </cell>
        </row>
        <row r="1481">
          <cell r="A1481">
            <v>39372</v>
          </cell>
        </row>
        <row r="1482">
          <cell r="A1482">
            <v>39373</v>
          </cell>
        </row>
        <row r="1483">
          <cell r="A1483">
            <v>39374</v>
          </cell>
        </row>
        <row r="1484">
          <cell r="A1484">
            <v>39375</v>
          </cell>
        </row>
        <row r="1485">
          <cell r="A1485">
            <v>39376</v>
          </cell>
        </row>
        <row r="1486">
          <cell r="A1486">
            <v>39377</v>
          </cell>
        </row>
        <row r="1487">
          <cell r="A1487">
            <v>39378</v>
          </cell>
        </row>
        <row r="1488">
          <cell r="A1488">
            <v>39379</v>
          </cell>
        </row>
        <row r="1489">
          <cell r="A1489">
            <v>39380</v>
          </cell>
        </row>
        <row r="1490">
          <cell r="A1490">
            <v>39381</v>
          </cell>
        </row>
        <row r="1491">
          <cell r="A1491">
            <v>39382</v>
          </cell>
        </row>
        <row r="1492">
          <cell r="A1492">
            <v>39383</v>
          </cell>
        </row>
        <row r="1493">
          <cell r="A1493">
            <v>39384</v>
          </cell>
        </row>
        <row r="1494">
          <cell r="A1494">
            <v>39385</v>
          </cell>
        </row>
        <row r="1495">
          <cell r="A1495">
            <v>39386</v>
          </cell>
        </row>
        <row r="1496">
          <cell r="A1496">
            <v>39387</v>
          </cell>
        </row>
        <row r="1497">
          <cell r="A1497">
            <v>39388</v>
          </cell>
        </row>
        <row r="1498">
          <cell r="A1498">
            <v>39389</v>
          </cell>
        </row>
        <row r="1499">
          <cell r="A1499">
            <v>39390</v>
          </cell>
        </row>
        <row r="1500">
          <cell r="A1500">
            <v>39391</v>
          </cell>
        </row>
        <row r="1501">
          <cell r="A1501">
            <v>39392</v>
          </cell>
        </row>
        <row r="1502">
          <cell r="A1502">
            <v>39393</v>
          </cell>
        </row>
        <row r="1503">
          <cell r="A1503">
            <v>39394</v>
          </cell>
        </row>
        <row r="1504">
          <cell r="A1504">
            <v>39395</v>
          </cell>
        </row>
        <row r="1505">
          <cell r="A1505">
            <v>39396</v>
          </cell>
        </row>
        <row r="1506">
          <cell r="A1506">
            <v>39397</v>
          </cell>
        </row>
        <row r="1507">
          <cell r="A1507">
            <v>39398</v>
          </cell>
        </row>
        <row r="1508">
          <cell r="A1508">
            <v>39399</v>
          </cell>
        </row>
        <row r="1509">
          <cell r="A1509">
            <v>39400</v>
          </cell>
        </row>
        <row r="1510">
          <cell r="A1510">
            <v>39401</v>
          </cell>
        </row>
        <row r="1511">
          <cell r="A1511">
            <v>39402</v>
          </cell>
        </row>
        <row r="1512">
          <cell r="A1512">
            <v>39403</v>
          </cell>
        </row>
        <row r="1513">
          <cell r="A1513">
            <v>39404</v>
          </cell>
        </row>
        <row r="1514">
          <cell r="A1514">
            <v>39405</v>
          </cell>
        </row>
        <row r="1515">
          <cell r="A1515">
            <v>39406</v>
          </cell>
        </row>
        <row r="1516">
          <cell r="A1516">
            <v>39407</v>
          </cell>
        </row>
        <row r="1517">
          <cell r="A1517">
            <v>39408</v>
          </cell>
        </row>
        <row r="1518">
          <cell r="A1518">
            <v>39409</v>
          </cell>
        </row>
        <row r="1519">
          <cell r="A1519">
            <v>39410</v>
          </cell>
        </row>
        <row r="1520">
          <cell r="A1520">
            <v>39411</v>
          </cell>
        </row>
        <row r="1521">
          <cell r="A1521">
            <v>39412</v>
          </cell>
        </row>
        <row r="1522">
          <cell r="A1522">
            <v>39413</v>
          </cell>
        </row>
        <row r="1523">
          <cell r="A1523">
            <v>39414</v>
          </cell>
        </row>
        <row r="1524">
          <cell r="A1524">
            <v>39415</v>
          </cell>
        </row>
        <row r="1525">
          <cell r="A1525">
            <v>39416</v>
          </cell>
        </row>
        <row r="1526">
          <cell r="A1526">
            <v>39417</v>
          </cell>
        </row>
        <row r="1527">
          <cell r="A1527">
            <v>39418</v>
          </cell>
        </row>
        <row r="1528">
          <cell r="A1528">
            <v>39419</v>
          </cell>
        </row>
        <row r="1529">
          <cell r="A1529">
            <v>39420</v>
          </cell>
        </row>
        <row r="1530">
          <cell r="A1530">
            <v>39421</v>
          </cell>
        </row>
        <row r="1531">
          <cell r="A1531">
            <v>39422</v>
          </cell>
        </row>
        <row r="1532">
          <cell r="A1532">
            <v>39423</v>
          </cell>
        </row>
        <row r="1533">
          <cell r="A1533">
            <v>39424</v>
          </cell>
        </row>
        <row r="1534">
          <cell r="A1534">
            <v>39425</v>
          </cell>
        </row>
        <row r="1535">
          <cell r="A1535">
            <v>39426</v>
          </cell>
        </row>
        <row r="1536">
          <cell r="A1536">
            <v>39427</v>
          </cell>
        </row>
        <row r="1537">
          <cell r="A1537">
            <v>39428</v>
          </cell>
        </row>
        <row r="1538">
          <cell r="A1538">
            <v>39429</v>
          </cell>
        </row>
        <row r="1539">
          <cell r="A1539">
            <v>39430</v>
          </cell>
        </row>
        <row r="1540">
          <cell r="A1540">
            <v>39431</v>
          </cell>
        </row>
        <row r="1541">
          <cell r="A1541">
            <v>39432</v>
          </cell>
        </row>
        <row r="1542">
          <cell r="A1542">
            <v>39433</v>
          </cell>
        </row>
        <row r="1543">
          <cell r="A1543">
            <v>39434</v>
          </cell>
        </row>
        <row r="1544">
          <cell r="A1544">
            <v>39435</v>
          </cell>
        </row>
        <row r="1545">
          <cell r="A1545">
            <v>39436</v>
          </cell>
        </row>
        <row r="1546">
          <cell r="A1546">
            <v>39437</v>
          </cell>
        </row>
        <row r="1547">
          <cell r="A1547">
            <v>39438</v>
          </cell>
        </row>
        <row r="1548">
          <cell r="A1548">
            <v>39439</v>
          </cell>
        </row>
        <row r="1549">
          <cell r="A1549">
            <v>39440</v>
          </cell>
        </row>
        <row r="1550">
          <cell r="A1550">
            <v>39441</v>
          </cell>
        </row>
        <row r="1551">
          <cell r="A1551">
            <v>39442</v>
          </cell>
        </row>
        <row r="1552">
          <cell r="A1552">
            <v>39443</v>
          </cell>
        </row>
        <row r="1553">
          <cell r="A1553">
            <v>39444</v>
          </cell>
        </row>
        <row r="1554">
          <cell r="A1554">
            <v>39445</v>
          </cell>
        </row>
        <row r="1555">
          <cell r="A1555">
            <v>39446</v>
          </cell>
        </row>
        <row r="1556">
          <cell r="A1556">
            <v>39447</v>
          </cell>
        </row>
        <row r="1557">
          <cell r="A1557">
            <v>39448</v>
          </cell>
        </row>
        <row r="1558">
          <cell r="A1558">
            <v>39449</v>
          </cell>
        </row>
        <row r="1559">
          <cell r="A1559">
            <v>39450</v>
          </cell>
        </row>
        <row r="1560">
          <cell r="A1560">
            <v>39451</v>
          </cell>
        </row>
        <row r="1561">
          <cell r="A1561">
            <v>39452</v>
          </cell>
        </row>
        <row r="1562">
          <cell r="A1562">
            <v>39453</v>
          </cell>
        </row>
        <row r="1563">
          <cell r="A1563">
            <v>39454</v>
          </cell>
        </row>
        <row r="1564">
          <cell r="A1564">
            <v>39455</v>
          </cell>
        </row>
        <row r="1565">
          <cell r="A1565">
            <v>39456</v>
          </cell>
        </row>
        <row r="1566">
          <cell r="A1566">
            <v>39457</v>
          </cell>
        </row>
        <row r="1567">
          <cell r="A1567">
            <v>39458</v>
          </cell>
        </row>
        <row r="1568">
          <cell r="A1568">
            <v>39459</v>
          </cell>
        </row>
        <row r="1569">
          <cell r="A1569">
            <v>39460</v>
          </cell>
        </row>
        <row r="1570">
          <cell r="A1570">
            <v>39461</v>
          </cell>
        </row>
        <row r="1571">
          <cell r="A1571">
            <v>39462</v>
          </cell>
        </row>
        <row r="1572">
          <cell r="A1572">
            <v>39463</v>
          </cell>
        </row>
        <row r="1573">
          <cell r="A1573">
            <v>39464</v>
          </cell>
        </row>
        <row r="1574">
          <cell r="A1574">
            <v>39465</v>
          </cell>
        </row>
        <row r="1575">
          <cell r="A1575">
            <v>39466</v>
          </cell>
        </row>
        <row r="1576">
          <cell r="A1576">
            <v>39467</v>
          </cell>
        </row>
        <row r="1577">
          <cell r="A1577">
            <v>39468</v>
          </cell>
        </row>
        <row r="1578">
          <cell r="A1578">
            <v>39469</v>
          </cell>
        </row>
        <row r="1579">
          <cell r="A1579">
            <v>39470</v>
          </cell>
        </row>
        <row r="1580">
          <cell r="A1580">
            <v>39471</v>
          </cell>
        </row>
        <row r="1581">
          <cell r="A1581">
            <v>39472</v>
          </cell>
        </row>
        <row r="1582">
          <cell r="A1582">
            <v>39473</v>
          </cell>
        </row>
        <row r="1583">
          <cell r="A1583">
            <v>39474</v>
          </cell>
        </row>
        <row r="1584">
          <cell r="A1584">
            <v>39475</v>
          </cell>
        </row>
        <row r="1585">
          <cell r="A1585">
            <v>39476</v>
          </cell>
        </row>
        <row r="1586">
          <cell r="A1586">
            <v>39477</v>
          </cell>
        </row>
        <row r="1587">
          <cell r="A1587">
            <v>39478</v>
          </cell>
        </row>
        <row r="1588">
          <cell r="A1588">
            <v>39479</v>
          </cell>
        </row>
        <row r="1589">
          <cell r="A1589">
            <v>39480</v>
          </cell>
        </row>
        <row r="1590">
          <cell r="A1590">
            <v>39481</v>
          </cell>
        </row>
        <row r="1591">
          <cell r="A1591">
            <v>39482</v>
          </cell>
        </row>
        <row r="1592">
          <cell r="A1592">
            <v>39483</v>
          </cell>
        </row>
        <row r="1593">
          <cell r="A1593">
            <v>39484</v>
          </cell>
        </row>
        <row r="1594">
          <cell r="A1594">
            <v>39485</v>
          </cell>
        </row>
        <row r="1595">
          <cell r="A1595">
            <v>39486</v>
          </cell>
        </row>
        <row r="1596">
          <cell r="A1596">
            <v>39487</v>
          </cell>
        </row>
        <row r="1597">
          <cell r="A1597">
            <v>39488</v>
          </cell>
        </row>
        <row r="1598">
          <cell r="A1598">
            <v>39489</v>
          </cell>
        </row>
        <row r="1599">
          <cell r="A1599">
            <v>39490</v>
          </cell>
        </row>
        <row r="1600">
          <cell r="A1600">
            <v>39491</v>
          </cell>
        </row>
        <row r="1601">
          <cell r="A1601">
            <v>39492</v>
          </cell>
        </row>
        <row r="1602">
          <cell r="A1602">
            <v>39493</v>
          </cell>
        </row>
        <row r="1603">
          <cell r="A1603">
            <v>39494</v>
          </cell>
        </row>
        <row r="1604">
          <cell r="A1604">
            <v>39495</v>
          </cell>
        </row>
        <row r="1605">
          <cell r="A1605">
            <v>39496</v>
          </cell>
        </row>
        <row r="1606">
          <cell r="A1606">
            <v>39497</v>
          </cell>
        </row>
        <row r="1607">
          <cell r="A1607">
            <v>39498</v>
          </cell>
        </row>
        <row r="1608">
          <cell r="A1608">
            <v>39499</v>
          </cell>
        </row>
        <row r="1609">
          <cell r="A1609">
            <v>39500</v>
          </cell>
        </row>
        <row r="1610">
          <cell r="A1610">
            <v>39501</v>
          </cell>
        </row>
        <row r="1611">
          <cell r="A1611">
            <v>39502</v>
          </cell>
        </row>
        <row r="1612">
          <cell r="A1612">
            <v>39503</v>
          </cell>
        </row>
        <row r="1613">
          <cell r="A1613">
            <v>39504</v>
          </cell>
        </row>
        <row r="1614">
          <cell r="A1614">
            <v>39505</v>
          </cell>
        </row>
        <row r="1615">
          <cell r="A1615">
            <v>39506</v>
          </cell>
        </row>
        <row r="1616">
          <cell r="A1616">
            <v>39507</v>
          </cell>
        </row>
        <row r="1617">
          <cell r="A1617">
            <v>39508</v>
          </cell>
        </row>
        <row r="1618">
          <cell r="A1618">
            <v>39509</v>
          </cell>
        </row>
        <row r="1619">
          <cell r="A1619">
            <v>39510</v>
          </cell>
        </row>
        <row r="1620">
          <cell r="A1620">
            <v>39511</v>
          </cell>
        </row>
        <row r="1621">
          <cell r="A1621">
            <v>39512</v>
          </cell>
        </row>
        <row r="1622">
          <cell r="A1622">
            <v>39513</v>
          </cell>
        </row>
        <row r="1623">
          <cell r="A1623">
            <v>39514</v>
          </cell>
        </row>
        <row r="1624">
          <cell r="A1624">
            <v>39515</v>
          </cell>
        </row>
        <row r="1625">
          <cell r="A1625">
            <v>39516</v>
          </cell>
        </row>
        <row r="1626">
          <cell r="A1626">
            <v>39517</v>
          </cell>
        </row>
        <row r="1627">
          <cell r="A1627">
            <v>39518</v>
          </cell>
        </row>
        <row r="1628">
          <cell r="A1628">
            <v>39519</v>
          </cell>
        </row>
        <row r="1629">
          <cell r="A1629">
            <v>39520</v>
          </cell>
        </row>
        <row r="1630">
          <cell r="A1630">
            <v>39521</v>
          </cell>
        </row>
        <row r="1631">
          <cell r="A1631">
            <v>39522</v>
          </cell>
        </row>
        <row r="1632">
          <cell r="A1632">
            <v>39523</v>
          </cell>
        </row>
        <row r="1633">
          <cell r="A1633">
            <v>39524</v>
          </cell>
        </row>
        <row r="1634">
          <cell r="A1634">
            <v>39525</v>
          </cell>
        </row>
        <row r="1635">
          <cell r="A1635">
            <v>39526</v>
          </cell>
        </row>
        <row r="1636">
          <cell r="A1636">
            <v>39527</v>
          </cell>
        </row>
        <row r="1637">
          <cell r="A1637">
            <v>39528</v>
          </cell>
        </row>
        <row r="1638">
          <cell r="A1638">
            <v>39529</v>
          </cell>
        </row>
        <row r="1639">
          <cell r="A1639">
            <v>39530</v>
          </cell>
        </row>
        <row r="1640">
          <cell r="A1640">
            <v>39531</v>
          </cell>
        </row>
        <row r="1641">
          <cell r="A1641">
            <v>39532</v>
          </cell>
        </row>
        <row r="1642">
          <cell r="A1642">
            <v>39533</v>
          </cell>
        </row>
        <row r="1643">
          <cell r="A1643">
            <v>39534</v>
          </cell>
        </row>
        <row r="1644">
          <cell r="A1644">
            <v>39535</v>
          </cell>
        </row>
        <row r="1645">
          <cell r="A1645">
            <v>39536</v>
          </cell>
        </row>
        <row r="1646">
          <cell r="A1646">
            <v>39537</v>
          </cell>
        </row>
        <row r="1647">
          <cell r="A1647">
            <v>39538</v>
          </cell>
        </row>
        <row r="1648">
          <cell r="A1648">
            <v>39539</v>
          </cell>
        </row>
        <row r="1649">
          <cell r="A1649">
            <v>39540</v>
          </cell>
        </row>
        <row r="1650">
          <cell r="A1650">
            <v>39541</v>
          </cell>
        </row>
        <row r="1651">
          <cell r="A1651">
            <v>39542</v>
          </cell>
        </row>
        <row r="1652">
          <cell r="A1652">
            <v>39543</v>
          </cell>
        </row>
        <row r="1653">
          <cell r="A1653">
            <v>39544</v>
          </cell>
        </row>
        <row r="1654">
          <cell r="A1654">
            <v>39545</v>
          </cell>
        </row>
        <row r="1655">
          <cell r="A1655">
            <v>39546</v>
          </cell>
        </row>
        <row r="1656">
          <cell r="A1656">
            <v>39547</v>
          </cell>
        </row>
        <row r="1657">
          <cell r="A1657">
            <v>39548</v>
          </cell>
        </row>
        <row r="1658">
          <cell r="A1658">
            <v>39549</v>
          </cell>
        </row>
        <row r="1659">
          <cell r="A1659">
            <v>39550</v>
          </cell>
        </row>
        <row r="1660">
          <cell r="A1660">
            <v>39551</v>
          </cell>
        </row>
        <row r="1661">
          <cell r="A1661">
            <v>39552</v>
          </cell>
        </row>
        <row r="1662">
          <cell r="A1662">
            <v>39553</v>
          </cell>
        </row>
        <row r="1663">
          <cell r="A1663">
            <v>39554</v>
          </cell>
        </row>
        <row r="1664">
          <cell r="A1664">
            <v>39555</v>
          </cell>
        </row>
        <row r="1665">
          <cell r="A1665">
            <v>39556</v>
          </cell>
        </row>
        <row r="1666">
          <cell r="A1666">
            <v>39557</v>
          </cell>
        </row>
        <row r="1667">
          <cell r="A1667">
            <v>39558</v>
          </cell>
        </row>
        <row r="1668">
          <cell r="A1668">
            <v>39559</v>
          </cell>
        </row>
        <row r="1669">
          <cell r="A1669">
            <v>39560</v>
          </cell>
        </row>
        <row r="1670">
          <cell r="A1670">
            <v>39561</v>
          </cell>
        </row>
        <row r="1671">
          <cell r="A1671">
            <v>39562</v>
          </cell>
        </row>
        <row r="1672">
          <cell r="A1672">
            <v>39563</v>
          </cell>
        </row>
        <row r="1673">
          <cell r="A1673">
            <v>39564</v>
          </cell>
        </row>
        <row r="1674">
          <cell r="A1674">
            <v>39565</v>
          </cell>
        </row>
        <row r="1675">
          <cell r="A1675">
            <v>39566</v>
          </cell>
        </row>
        <row r="1676">
          <cell r="A1676">
            <v>39567</v>
          </cell>
        </row>
        <row r="1677">
          <cell r="A1677">
            <v>39568</v>
          </cell>
        </row>
        <row r="1678">
          <cell r="A1678">
            <v>39569</v>
          </cell>
        </row>
        <row r="1679">
          <cell r="A1679">
            <v>39570</v>
          </cell>
        </row>
        <row r="1680">
          <cell r="A1680">
            <v>39571</v>
          </cell>
        </row>
        <row r="1681">
          <cell r="A1681">
            <v>39572</v>
          </cell>
        </row>
        <row r="1682">
          <cell r="A1682">
            <v>39573</v>
          </cell>
        </row>
        <row r="1683">
          <cell r="A1683">
            <v>39574</v>
          </cell>
        </row>
        <row r="1684">
          <cell r="A1684">
            <v>39575</v>
          </cell>
        </row>
        <row r="1685">
          <cell r="A1685">
            <v>39576</v>
          </cell>
        </row>
        <row r="1686">
          <cell r="A1686">
            <v>39577</v>
          </cell>
        </row>
        <row r="1687">
          <cell r="A1687">
            <v>39578</v>
          </cell>
        </row>
        <row r="1688">
          <cell r="A1688">
            <v>39579</v>
          </cell>
        </row>
        <row r="1689">
          <cell r="A1689">
            <v>39580</v>
          </cell>
        </row>
        <row r="1690">
          <cell r="A1690">
            <v>39581</v>
          </cell>
        </row>
        <row r="1691">
          <cell r="A1691">
            <v>39582</v>
          </cell>
        </row>
        <row r="1692">
          <cell r="A1692">
            <v>39583</v>
          </cell>
        </row>
        <row r="1693">
          <cell r="A1693">
            <v>39584</v>
          </cell>
        </row>
        <row r="1694">
          <cell r="A1694">
            <v>39585</v>
          </cell>
        </row>
        <row r="1695">
          <cell r="A1695">
            <v>39586</v>
          </cell>
        </row>
        <row r="1696">
          <cell r="A1696">
            <v>39587</v>
          </cell>
        </row>
        <row r="1697">
          <cell r="A1697">
            <v>39588</v>
          </cell>
        </row>
        <row r="1698">
          <cell r="A1698">
            <v>39589</v>
          </cell>
        </row>
        <row r="1699">
          <cell r="A1699">
            <v>39590</v>
          </cell>
        </row>
        <row r="1700">
          <cell r="A1700">
            <v>39591</v>
          </cell>
        </row>
        <row r="1701">
          <cell r="A1701">
            <v>39592</v>
          </cell>
        </row>
        <row r="1702">
          <cell r="A1702">
            <v>39593</v>
          </cell>
        </row>
        <row r="1703">
          <cell r="A1703">
            <v>39594</v>
          </cell>
        </row>
        <row r="1704">
          <cell r="A1704">
            <v>39595</v>
          </cell>
        </row>
        <row r="1705">
          <cell r="A1705">
            <v>39596</v>
          </cell>
        </row>
        <row r="1706">
          <cell r="A1706">
            <v>39597</v>
          </cell>
        </row>
        <row r="1707">
          <cell r="A1707">
            <v>39598</v>
          </cell>
        </row>
        <row r="1708">
          <cell r="A1708">
            <v>39599</v>
          </cell>
        </row>
        <row r="1709">
          <cell r="A1709">
            <v>39600</v>
          </cell>
        </row>
        <row r="1710">
          <cell r="A1710">
            <v>39601</v>
          </cell>
        </row>
        <row r="1711">
          <cell r="A1711">
            <v>39602</v>
          </cell>
        </row>
        <row r="1712">
          <cell r="A1712">
            <v>39603</v>
          </cell>
        </row>
        <row r="1713">
          <cell r="A1713">
            <v>39604</v>
          </cell>
        </row>
        <row r="1714">
          <cell r="A1714">
            <v>39605</v>
          </cell>
        </row>
        <row r="1715">
          <cell r="A1715">
            <v>39606</v>
          </cell>
        </row>
        <row r="1716">
          <cell r="A1716">
            <v>39607</v>
          </cell>
        </row>
        <row r="1717">
          <cell r="A1717">
            <v>39608</v>
          </cell>
        </row>
        <row r="1718">
          <cell r="A1718">
            <v>39609</v>
          </cell>
        </row>
        <row r="1719">
          <cell r="A1719">
            <v>39610</v>
          </cell>
        </row>
        <row r="1720">
          <cell r="A1720">
            <v>39611</v>
          </cell>
        </row>
        <row r="1721">
          <cell r="A1721">
            <v>39612</v>
          </cell>
        </row>
        <row r="1722">
          <cell r="A1722">
            <v>39613</v>
          </cell>
        </row>
        <row r="1723">
          <cell r="A1723">
            <v>39614</v>
          </cell>
        </row>
        <row r="1724">
          <cell r="A1724">
            <v>39615</v>
          </cell>
        </row>
        <row r="1725">
          <cell r="A1725">
            <v>39616</v>
          </cell>
        </row>
        <row r="1726">
          <cell r="A1726">
            <v>39617</v>
          </cell>
        </row>
        <row r="1727">
          <cell r="A1727">
            <v>39618</v>
          </cell>
        </row>
        <row r="1728">
          <cell r="A1728">
            <v>39619</v>
          </cell>
        </row>
        <row r="1729">
          <cell r="A1729">
            <v>39620</v>
          </cell>
        </row>
        <row r="1730">
          <cell r="A1730">
            <v>39621</v>
          </cell>
        </row>
        <row r="1731">
          <cell r="A1731">
            <v>39622</v>
          </cell>
        </row>
        <row r="1732">
          <cell r="A1732">
            <v>39623</v>
          </cell>
        </row>
        <row r="1733">
          <cell r="A1733">
            <v>39624</v>
          </cell>
        </row>
        <row r="1734">
          <cell r="A1734">
            <v>39625</v>
          </cell>
        </row>
        <row r="1735">
          <cell r="A1735">
            <v>39626</v>
          </cell>
        </row>
        <row r="1736">
          <cell r="A1736">
            <v>39627</v>
          </cell>
        </row>
        <row r="1737">
          <cell r="A1737">
            <v>39628</v>
          </cell>
        </row>
        <row r="1738">
          <cell r="A1738">
            <v>39629</v>
          </cell>
        </row>
        <row r="1739">
          <cell r="A1739">
            <v>39630</v>
          </cell>
        </row>
        <row r="1740">
          <cell r="A1740">
            <v>39631</v>
          </cell>
        </row>
        <row r="1741">
          <cell r="A1741">
            <v>39632</v>
          </cell>
        </row>
        <row r="1742">
          <cell r="A1742">
            <v>39633</v>
          </cell>
        </row>
        <row r="1743">
          <cell r="A1743">
            <v>39634</v>
          </cell>
        </row>
        <row r="1744">
          <cell r="A1744">
            <v>39635</v>
          </cell>
        </row>
        <row r="1745">
          <cell r="A1745">
            <v>39636</v>
          </cell>
        </row>
        <row r="1746">
          <cell r="A1746">
            <v>39637</v>
          </cell>
        </row>
        <row r="1747">
          <cell r="A1747">
            <v>39638</v>
          </cell>
        </row>
        <row r="1748">
          <cell r="A1748">
            <v>39639</v>
          </cell>
        </row>
        <row r="1749">
          <cell r="A1749">
            <v>39640</v>
          </cell>
        </row>
        <row r="1750">
          <cell r="A1750">
            <v>39641</v>
          </cell>
        </row>
        <row r="1751">
          <cell r="A1751">
            <v>39642</v>
          </cell>
        </row>
        <row r="1752">
          <cell r="A1752">
            <v>39643</v>
          </cell>
        </row>
        <row r="1753">
          <cell r="A1753">
            <v>39644</v>
          </cell>
        </row>
        <row r="1754">
          <cell r="A1754">
            <v>39645</v>
          </cell>
        </row>
        <row r="1755">
          <cell r="A1755">
            <v>39646</v>
          </cell>
        </row>
        <row r="1756">
          <cell r="A1756">
            <v>39647</v>
          </cell>
        </row>
        <row r="1757">
          <cell r="A1757">
            <v>39648</v>
          </cell>
        </row>
        <row r="1758">
          <cell r="A1758">
            <v>39649</v>
          </cell>
        </row>
        <row r="1759">
          <cell r="A1759">
            <v>39650</v>
          </cell>
        </row>
        <row r="1760">
          <cell r="A1760">
            <v>39651</v>
          </cell>
        </row>
        <row r="1761">
          <cell r="A1761">
            <v>39652</v>
          </cell>
        </row>
        <row r="1762">
          <cell r="A1762">
            <v>39653</v>
          </cell>
        </row>
        <row r="1763">
          <cell r="A1763">
            <v>39654</v>
          </cell>
        </row>
        <row r="1764">
          <cell r="A1764">
            <v>39655</v>
          </cell>
        </row>
        <row r="1765">
          <cell r="A1765">
            <v>39656</v>
          </cell>
        </row>
        <row r="1766">
          <cell r="A1766">
            <v>39657</v>
          </cell>
        </row>
        <row r="1767">
          <cell r="A1767">
            <v>39658</v>
          </cell>
        </row>
        <row r="1768">
          <cell r="A1768">
            <v>39659</v>
          </cell>
        </row>
        <row r="1769">
          <cell r="A1769">
            <v>39660</v>
          </cell>
        </row>
        <row r="1770">
          <cell r="A1770">
            <v>39661</v>
          </cell>
        </row>
        <row r="1771">
          <cell r="A1771">
            <v>39662</v>
          </cell>
        </row>
        <row r="1772">
          <cell r="A1772">
            <v>39663</v>
          </cell>
        </row>
        <row r="1773">
          <cell r="A1773">
            <v>39664</v>
          </cell>
        </row>
        <row r="1774">
          <cell r="A1774">
            <v>39665</v>
          </cell>
        </row>
        <row r="1775">
          <cell r="A1775">
            <v>39666</v>
          </cell>
        </row>
        <row r="1776">
          <cell r="A1776">
            <v>39667</v>
          </cell>
        </row>
        <row r="1777">
          <cell r="A1777">
            <v>39668</v>
          </cell>
        </row>
        <row r="1778">
          <cell r="A1778">
            <v>39669</v>
          </cell>
        </row>
        <row r="1779">
          <cell r="A1779">
            <v>39670</v>
          </cell>
        </row>
        <row r="1780">
          <cell r="A1780">
            <v>39671</v>
          </cell>
        </row>
        <row r="1781">
          <cell r="A1781">
            <v>39672</v>
          </cell>
        </row>
        <row r="1782">
          <cell r="A1782">
            <v>39673</v>
          </cell>
        </row>
        <row r="1783">
          <cell r="A1783">
            <v>39674</v>
          </cell>
        </row>
        <row r="1784">
          <cell r="A1784">
            <v>39675</v>
          </cell>
        </row>
        <row r="1785">
          <cell r="A1785">
            <v>39676</v>
          </cell>
        </row>
        <row r="1786">
          <cell r="A1786">
            <v>39677</v>
          </cell>
        </row>
        <row r="1787">
          <cell r="A1787">
            <v>39678</v>
          </cell>
        </row>
        <row r="1788">
          <cell r="A1788">
            <v>39679</v>
          </cell>
        </row>
        <row r="1789">
          <cell r="A1789">
            <v>39680</v>
          </cell>
        </row>
        <row r="1790">
          <cell r="A1790">
            <v>39681</v>
          </cell>
        </row>
        <row r="1791">
          <cell r="A1791">
            <v>39682</v>
          </cell>
        </row>
        <row r="1792">
          <cell r="A1792">
            <v>39683</v>
          </cell>
        </row>
        <row r="1793">
          <cell r="A1793">
            <v>39684</v>
          </cell>
        </row>
        <row r="1794">
          <cell r="A1794">
            <v>39685</v>
          </cell>
        </row>
        <row r="1795">
          <cell r="A1795">
            <v>39686</v>
          </cell>
        </row>
        <row r="1796">
          <cell r="A1796">
            <v>39687</v>
          </cell>
        </row>
        <row r="1797">
          <cell r="A1797">
            <v>39688</v>
          </cell>
        </row>
        <row r="1798">
          <cell r="A1798">
            <v>39689</v>
          </cell>
        </row>
        <row r="1799">
          <cell r="A1799">
            <v>39690</v>
          </cell>
        </row>
        <row r="1800">
          <cell r="A1800">
            <v>39691</v>
          </cell>
        </row>
        <row r="1801">
          <cell r="A1801">
            <v>39692</v>
          </cell>
        </row>
        <row r="1802">
          <cell r="A1802">
            <v>39693</v>
          </cell>
        </row>
        <row r="1803">
          <cell r="A1803">
            <v>39694</v>
          </cell>
        </row>
        <row r="1804">
          <cell r="A1804">
            <v>39695</v>
          </cell>
        </row>
        <row r="1805">
          <cell r="A1805">
            <v>39696</v>
          </cell>
        </row>
        <row r="1806">
          <cell r="A1806">
            <v>39697</v>
          </cell>
        </row>
        <row r="1807">
          <cell r="A1807">
            <v>39698</v>
          </cell>
        </row>
        <row r="1808">
          <cell r="A1808">
            <v>39699</v>
          </cell>
        </row>
        <row r="1809">
          <cell r="A1809">
            <v>39700</v>
          </cell>
        </row>
        <row r="1810">
          <cell r="A1810">
            <v>39701</v>
          </cell>
        </row>
        <row r="1811">
          <cell r="A1811">
            <v>39702</v>
          </cell>
        </row>
        <row r="1812">
          <cell r="A1812">
            <v>39703</v>
          </cell>
        </row>
        <row r="1813">
          <cell r="A1813">
            <v>39704</v>
          </cell>
        </row>
        <row r="1814">
          <cell r="A1814">
            <v>39705</v>
          </cell>
        </row>
        <row r="1815">
          <cell r="A1815">
            <v>39706</v>
          </cell>
        </row>
        <row r="1816">
          <cell r="A1816">
            <v>39707</v>
          </cell>
        </row>
        <row r="1817">
          <cell r="A1817">
            <v>39708</v>
          </cell>
        </row>
        <row r="1818">
          <cell r="A1818">
            <v>39709</v>
          </cell>
        </row>
        <row r="1819">
          <cell r="A1819">
            <v>39710</v>
          </cell>
        </row>
        <row r="1820">
          <cell r="A1820">
            <v>39711</v>
          </cell>
        </row>
        <row r="1821">
          <cell r="A1821">
            <v>39712</v>
          </cell>
        </row>
        <row r="1822">
          <cell r="A1822">
            <v>39713</v>
          </cell>
        </row>
        <row r="1823">
          <cell r="A1823">
            <v>39714</v>
          </cell>
        </row>
        <row r="1824">
          <cell r="A1824">
            <v>39715</v>
          </cell>
        </row>
        <row r="1825">
          <cell r="A1825">
            <v>39716</v>
          </cell>
        </row>
        <row r="1826">
          <cell r="A1826">
            <v>39717</v>
          </cell>
        </row>
        <row r="1827">
          <cell r="A1827">
            <v>39718</v>
          </cell>
        </row>
        <row r="1828">
          <cell r="A1828">
            <v>39719</v>
          </cell>
        </row>
        <row r="1829">
          <cell r="A1829">
            <v>39720</v>
          </cell>
        </row>
        <row r="1830">
          <cell r="A1830">
            <v>39721</v>
          </cell>
        </row>
        <row r="1831">
          <cell r="A1831">
            <v>39722</v>
          </cell>
        </row>
        <row r="1832">
          <cell r="A1832">
            <v>39723</v>
          </cell>
        </row>
        <row r="1833">
          <cell r="A1833">
            <v>39724</v>
          </cell>
        </row>
        <row r="1834">
          <cell r="A1834">
            <v>39725</v>
          </cell>
        </row>
        <row r="1835">
          <cell r="A1835">
            <v>39726</v>
          </cell>
        </row>
        <row r="1836">
          <cell r="A1836">
            <v>39727</v>
          </cell>
        </row>
        <row r="1837">
          <cell r="A1837">
            <v>39728</v>
          </cell>
        </row>
        <row r="1838">
          <cell r="A1838">
            <v>39729</v>
          </cell>
        </row>
        <row r="1839">
          <cell r="A1839">
            <v>39730</v>
          </cell>
        </row>
        <row r="1840">
          <cell r="A1840">
            <v>39731</v>
          </cell>
        </row>
        <row r="1841">
          <cell r="A1841">
            <v>39732</v>
          </cell>
        </row>
        <row r="1842">
          <cell r="A1842">
            <v>39733</v>
          </cell>
        </row>
        <row r="1843">
          <cell r="A1843">
            <v>39734</v>
          </cell>
        </row>
        <row r="1844">
          <cell r="A1844">
            <v>39735</v>
          </cell>
        </row>
        <row r="1845">
          <cell r="A1845">
            <v>39736</v>
          </cell>
        </row>
        <row r="1846">
          <cell r="A1846">
            <v>39737</v>
          </cell>
        </row>
        <row r="1847">
          <cell r="A1847">
            <v>39738</v>
          </cell>
        </row>
        <row r="1848">
          <cell r="A1848">
            <v>39739</v>
          </cell>
        </row>
        <row r="1849">
          <cell r="A1849">
            <v>39740</v>
          </cell>
        </row>
        <row r="1850">
          <cell r="A1850">
            <v>39741</v>
          </cell>
        </row>
        <row r="1851">
          <cell r="A1851">
            <v>39742</v>
          </cell>
        </row>
        <row r="1852">
          <cell r="A1852">
            <v>39743</v>
          </cell>
        </row>
        <row r="1853">
          <cell r="A1853">
            <v>39744</v>
          </cell>
        </row>
        <row r="1854">
          <cell r="A1854">
            <v>39745</v>
          </cell>
        </row>
        <row r="1855">
          <cell r="A1855">
            <v>39746</v>
          </cell>
        </row>
        <row r="1856">
          <cell r="A1856">
            <v>39747</v>
          </cell>
        </row>
        <row r="1857">
          <cell r="A1857">
            <v>39748</v>
          </cell>
        </row>
        <row r="1858">
          <cell r="A1858">
            <v>39749</v>
          </cell>
        </row>
        <row r="1859">
          <cell r="A1859">
            <v>39750</v>
          </cell>
        </row>
        <row r="1860">
          <cell r="A1860">
            <v>39751</v>
          </cell>
        </row>
        <row r="1861">
          <cell r="A1861">
            <v>39752</v>
          </cell>
        </row>
        <row r="1862">
          <cell r="A1862">
            <v>39753</v>
          </cell>
        </row>
        <row r="1863">
          <cell r="A1863">
            <v>39754</v>
          </cell>
        </row>
        <row r="1864">
          <cell r="A1864">
            <v>39755</v>
          </cell>
        </row>
        <row r="1865">
          <cell r="A1865">
            <v>39756</v>
          </cell>
        </row>
        <row r="1866">
          <cell r="A1866">
            <v>39757</v>
          </cell>
        </row>
        <row r="1867">
          <cell r="A1867">
            <v>39758</v>
          </cell>
        </row>
        <row r="1868">
          <cell r="A1868">
            <v>39759</v>
          </cell>
        </row>
        <row r="1869">
          <cell r="A1869">
            <v>39760</v>
          </cell>
        </row>
        <row r="1870">
          <cell r="A1870">
            <v>39761</v>
          </cell>
        </row>
        <row r="1871">
          <cell r="A1871">
            <v>39762</v>
          </cell>
        </row>
        <row r="1872">
          <cell r="A1872">
            <v>39763</v>
          </cell>
        </row>
        <row r="1873">
          <cell r="A1873">
            <v>39764</v>
          </cell>
        </row>
        <row r="1874">
          <cell r="A1874">
            <v>39765</v>
          </cell>
        </row>
        <row r="1875">
          <cell r="A1875">
            <v>39766</v>
          </cell>
        </row>
        <row r="1876">
          <cell r="A1876">
            <v>39767</v>
          </cell>
        </row>
        <row r="1877">
          <cell r="A1877">
            <v>39768</v>
          </cell>
        </row>
        <row r="1878">
          <cell r="A1878">
            <v>39769</v>
          </cell>
        </row>
        <row r="1879">
          <cell r="A1879">
            <v>39770</v>
          </cell>
        </row>
        <row r="1880">
          <cell r="A1880">
            <v>39771</v>
          </cell>
        </row>
        <row r="1881">
          <cell r="A1881">
            <v>39772</v>
          </cell>
        </row>
        <row r="1882">
          <cell r="A1882">
            <v>39773</v>
          </cell>
        </row>
        <row r="1883">
          <cell r="A1883">
            <v>39774</v>
          </cell>
        </row>
        <row r="1884">
          <cell r="A1884">
            <v>39775</v>
          </cell>
        </row>
        <row r="1885">
          <cell r="A1885">
            <v>39776</v>
          </cell>
        </row>
        <row r="1886">
          <cell r="A1886">
            <v>39777</v>
          </cell>
        </row>
        <row r="1887">
          <cell r="A1887">
            <v>39778</v>
          </cell>
        </row>
        <row r="1888">
          <cell r="A1888">
            <v>39779</v>
          </cell>
        </row>
        <row r="1889">
          <cell r="A1889">
            <v>39780</v>
          </cell>
        </row>
        <row r="1890">
          <cell r="A1890">
            <v>39781</v>
          </cell>
        </row>
        <row r="1891">
          <cell r="A1891">
            <v>39782</v>
          </cell>
        </row>
        <row r="1892">
          <cell r="A1892">
            <v>39783</v>
          </cell>
        </row>
        <row r="1893">
          <cell r="A1893">
            <v>39784</v>
          </cell>
        </row>
        <row r="1894">
          <cell r="A1894">
            <v>39785</v>
          </cell>
        </row>
        <row r="1895">
          <cell r="A1895">
            <v>39786</v>
          </cell>
        </row>
        <row r="1896">
          <cell r="A1896">
            <v>39787</v>
          </cell>
        </row>
        <row r="1897">
          <cell r="A1897">
            <v>39788</v>
          </cell>
        </row>
        <row r="1898">
          <cell r="A1898">
            <v>39789</v>
          </cell>
        </row>
        <row r="1899">
          <cell r="A1899">
            <v>39790</v>
          </cell>
        </row>
        <row r="1900">
          <cell r="A1900">
            <v>39791</v>
          </cell>
        </row>
        <row r="1901">
          <cell r="A1901">
            <v>39792</v>
          </cell>
        </row>
        <row r="1902">
          <cell r="A1902">
            <v>39793</v>
          </cell>
        </row>
        <row r="1903">
          <cell r="A1903">
            <v>39794</v>
          </cell>
        </row>
        <row r="1904">
          <cell r="A1904">
            <v>39795</v>
          </cell>
        </row>
        <row r="1905">
          <cell r="A1905">
            <v>39796</v>
          </cell>
        </row>
        <row r="1906">
          <cell r="A1906">
            <v>39797</v>
          </cell>
        </row>
        <row r="1907">
          <cell r="A1907">
            <v>39798</v>
          </cell>
        </row>
        <row r="1908">
          <cell r="A1908">
            <v>39799</v>
          </cell>
        </row>
        <row r="1909">
          <cell r="A1909">
            <v>39800</v>
          </cell>
        </row>
        <row r="1910">
          <cell r="A1910">
            <v>39801</v>
          </cell>
        </row>
        <row r="1911">
          <cell r="A1911">
            <v>39802</v>
          </cell>
        </row>
        <row r="1912">
          <cell r="A1912">
            <v>39803</v>
          </cell>
        </row>
        <row r="1913">
          <cell r="A1913">
            <v>39804</v>
          </cell>
        </row>
        <row r="1914">
          <cell r="A1914">
            <v>39805</v>
          </cell>
        </row>
        <row r="1915">
          <cell r="A1915">
            <v>39806</v>
          </cell>
        </row>
        <row r="1916">
          <cell r="A1916">
            <v>39807</v>
          </cell>
        </row>
        <row r="1917">
          <cell r="A1917">
            <v>39808</v>
          </cell>
        </row>
        <row r="1918">
          <cell r="A1918">
            <v>39809</v>
          </cell>
        </row>
        <row r="1919">
          <cell r="A1919">
            <v>39810</v>
          </cell>
        </row>
        <row r="1920">
          <cell r="A1920">
            <v>39811</v>
          </cell>
        </row>
        <row r="1921">
          <cell r="A1921">
            <v>39812</v>
          </cell>
        </row>
        <row r="1922">
          <cell r="A1922">
            <v>39813</v>
          </cell>
        </row>
        <row r="1923">
          <cell r="A1923">
            <v>39814</v>
          </cell>
        </row>
        <row r="1924">
          <cell r="A1924">
            <v>39815</v>
          </cell>
        </row>
        <row r="1925">
          <cell r="A1925">
            <v>39816</v>
          </cell>
        </row>
        <row r="1926">
          <cell r="A1926">
            <v>39817</v>
          </cell>
        </row>
        <row r="1927">
          <cell r="A1927">
            <v>39818</v>
          </cell>
        </row>
        <row r="1928">
          <cell r="A1928">
            <v>39819</v>
          </cell>
        </row>
        <row r="1929">
          <cell r="A1929">
            <v>39820</v>
          </cell>
        </row>
        <row r="1930">
          <cell r="A1930">
            <v>39821</v>
          </cell>
        </row>
        <row r="1931">
          <cell r="A1931">
            <v>39822</v>
          </cell>
        </row>
        <row r="1932">
          <cell r="A1932">
            <v>39823</v>
          </cell>
        </row>
        <row r="1933">
          <cell r="A1933">
            <v>39824</v>
          </cell>
        </row>
        <row r="1934">
          <cell r="A1934">
            <v>39825</v>
          </cell>
        </row>
        <row r="1935">
          <cell r="A1935">
            <v>39826</v>
          </cell>
        </row>
        <row r="1936">
          <cell r="A1936">
            <v>39827</v>
          </cell>
        </row>
        <row r="1937">
          <cell r="A1937">
            <v>39828</v>
          </cell>
        </row>
        <row r="1938">
          <cell r="A1938">
            <v>39829</v>
          </cell>
        </row>
        <row r="1939">
          <cell r="A1939">
            <v>39830</v>
          </cell>
        </row>
        <row r="1940">
          <cell r="A1940">
            <v>39831</v>
          </cell>
        </row>
        <row r="1941">
          <cell r="A1941">
            <v>39832</v>
          </cell>
        </row>
        <row r="1942">
          <cell r="A1942">
            <v>39833</v>
          </cell>
        </row>
        <row r="1943">
          <cell r="A1943">
            <v>39834</v>
          </cell>
        </row>
        <row r="1944">
          <cell r="A1944">
            <v>39835</v>
          </cell>
        </row>
        <row r="1945">
          <cell r="A1945">
            <v>39836</v>
          </cell>
        </row>
        <row r="1946">
          <cell r="A1946">
            <v>39837</v>
          </cell>
        </row>
        <row r="1947">
          <cell r="A1947">
            <v>39838</v>
          </cell>
        </row>
        <row r="1948">
          <cell r="A1948">
            <v>39839</v>
          </cell>
        </row>
        <row r="1949">
          <cell r="A1949">
            <v>39840</v>
          </cell>
        </row>
        <row r="1950">
          <cell r="A1950">
            <v>39841</v>
          </cell>
        </row>
        <row r="1951">
          <cell r="A1951">
            <v>39842</v>
          </cell>
        </row>
        <row r="1952">
          <cell r="A1952">
            <v>39843</v>
          </cell>
        </row>
        <row r="1953">
          <cell r="A1953">
            <v>39844</v>
          </cell>
        </row>
        <row r="1954">
          <cell r="A1954">
            <v>39845</v>
          </cell>
        </row>
        <row r="1955">
          <cell r="A1955">
            <v>39846</v>
          </cell>
        </row>
        <row r="1956">
          <cell r="A1956">
            <v>39847</v>
          </cell>
        </row>
        <row r="1957">
          <cell r="A1957">
            <v>39848</v>
          </cell>
        </row>
        <row r="1958">
          <cell r="A1958">
            <v>39849</v>
          </cell>
        </row>
        <row r="1959">
          <cell r="A1959">
            <v>39850</v>
          </cell>
        </row>
        <row r="1960">
          <cell r="A1960">
            <v>39851</v>
          </cell>
        </row>
        <row r="1961">
          <cell r="A1961">
            <v>39852</v>
          </cell>
        </row>
        <row r="1962">
          <cell r="A1962">
            <v>39853</v>
          </cell>
        </row>
        <row r="1963">
          <cell r="A1963">
            <v>39854</v>
          </cell>
        </row>
        <row r="1964">
          <cell r="A1964">
            <v>39855</v>
          </cell>
        </row>
        <row r="1965">
          <cell r="A1965">
            <v>39856</v>
          </cell>
        </row>
        <row r="1966">
          <cell r="A1966">
            <v>39857</v>
          </cell>
        </row>
        <row r="1967">
          <cell r="A1967">
            <v>39858</v>
          </cell>
        </row>
        <row r="1968">
          <cell r="A1968">
            <v>39859</v>
          </cell>
        </row>
        <row r="1969">
          <cell r="A1969">
            <v>39860</v>
          </cell>
        </row>
        <row r="1970">
          <cell r="A1970">
            <v>39861</v>
          </cell>
        </row>
        <row r="1971">
          <cell r="A1971">
            <v>39862</v>
          </cell>
        </row>
        <row r="1972">
          <cell r="A1972">
            <v>39863</v>
          </cell>
        </row>
        <row r="1973">
          <cell r="A1973">
            <v>39864</v>
          </cell>
        </row>
        <row r="1974">
          <cell r="A1974">
            <v>39865</v>
          </cell>
        </row>
        <row r="1975">
          <cell r="A1975">
            <v>39866</v>
          </cell>
        </row>
        <row r="1976">
          <cell r="A1976">
            <v>39867</v>
          </cell>
        </row>
        <row r="1977">
          <cell r="A1977">
            <v>39868</v>
          </cell>
        </row>
        <row r="1978">
          <cell r="A1978">
            <v>39869</v>
          </cell>
        </row>
        <row r="1979">
          <cell r="A1979">
            <v>39870</v>
          </cell>
        </row>
        <row r="1980">
          <cell r="A1980">
            <v>39871</v>
          </cell>
        </row>
        <row r="1981">
          <cell r="A1981">
            <v>39872</v>
          </cell>
        </row>
        <row r="1982">
          <cell r="A1982">
            <v>39873</v>
          </cell>
        </row>
        <row r="1983">
          <cell r="A1983">
            <v>39874</v>
          </cell>
        </row>
        <row r="1984">
          <cell r="A1984">
            <v>39875</v>
          </cell>
        </row>
        <row r="1985">
          <cell r="A1985">
            <v>39876</v>
          </cell>
        </row>
        <row r="1986">
          <cell r="A1986">
            <v>39877</v>
          </cell>
        </row>
        <row r="1987">
          <cell r="A1987">
            <v>39878</v>
          </cell>
        </row>
        <row r="1988">
          <cell r="A1988">
            <v>39879</v>
          </cell>
        </row>
        <row r="1989">
          <cell r="A1989">
            <v>39880</v>
          </cell>
        </row>
        <row r="1990">
          <cell r="A1990">
            <v>39881</v>
          </cell>
        </row>
        <row r="1991">
          <cell r="A1991">
            <v>39882</v>
          </cell>
        </row>
        <row r="1992">
          <cell r="A1992">
            <v>39883</v>
          </cell>
        </row>
        <row r="1993">
          <cell r="A1993">
            <v>39884</v>
          </cell>
        </row>
        <row r="1994">
          <cell r="A1994">
            <v>39885</v>
          </cell>
        </row>
        <row r="1995">
          <cell r="A1995">
            <v>39886</v>
          </cell>
        </row>
        <row r="1996">
          <cell r="A1996">
            <v>39887</v>
          </cell>
        </row>
        <row r="1997">
          <cell r="A1997">
            <v>39888</v>
          </cell>
        </row>
        <row r="1998">
          <cell r="A1998">
            <v>39889</v>
          </cell>
        </row>
        <row r="1999">
          <cell r="A1999">
            <v>39890</v>
          </cell>
        </row>
        <row r="2000">
          <cell r="A2000">
            <v>39891</v>
          </cell>
        </row>
        <row r="2001">
          <cell r="A2001">
            <v>39892</v>
          </cell>
        </row>
        <row r="2002">
          <cell r="A2002">
            <v>39893</v>
          </cell>
        </row>
        <row r="2003">
          <cell r="A2003">
            <v>39894</v>
          </cell>
        </row>
        <row r="2004">
          <cell r="A2004">
            <v>39895</v>
          </cell>
        </row>
        <row r="2005">
          <cell r="A2005">
            <v>39896</v>
          </cell>
        </row>
        <row r="2006">
          <cell r="A2006">
            <v>39897</v>
          </cell>
        </row>
        <row r="2007">
          <cell r="A2007">
            <v>39898</v>
          </cell>
        </row>
        <row r="2008">
          <cell r="A2008">
            <v>39899</v>
          </cell>
        </row>
        <row r="2009">
          <cell r="A2009">
            <v>39900</v>
          </cell>
        </row>
        <row r="2010">
          <cell r="A2010">
            <v>39901</v>
          </cell>
        </row>
        <row r="2011">
          <cell r="A2011">
            <v>39902</v>
          </cell>
        </row>
        <row r="2012">
          <cell r="A2012">
            <v>39903</v>
          </cell>
        </row>
        <row r="2013">
          <cell r="A2013">
            <v>39904</v>
          </cell>
        </row>
        <row r="2014">
          <cell r="A2014">
            <v>39905</v>
          </cell>
        </row>
        <row r="2015">
          <cell r="A2015">
            <v>39906</v>
          </cell>
        </row>
        <row r="2016">
          <cell r="A2016">
            <v>39907</v>
          </cell>
        </row>
        <row r="2017">
          <cell r="A2017">
            <v>39908</v>
          </cell>
        </row>
        <row r="2018">
          <cell r="A2018">
            <v>39909</v>
          </cell>
        </row>
        <row r="2019">
          <cell r="A2019">
            <v>39910</v>
          </cell>
        </row>
        <row r="2020">
          <cell r="A2020">
            <v>39911</v>
          </cell>
        </row>
        <row r="2021">
          <cell r="A2021">
            <v>39912</v>
          </cell>
        </row>
        <row r="2022">
          <cell r="A2022">
            <v>39913</v>
          </cell>
        </row>
        <row r="2023">
          <cell r="A2023">
            <v>39914</v>
          </cell>
        </row>
        <row r="2024">
          <cell r="A2024">
            <v>39915</v>
          </cell>
        </row>
        <row r="2025">
          <cell r="A2025">
            <v>39916</v>
          </cell>
        </row>
        <row r="2026">
          <cell r="A2026">
            <v>39917</v>
          </cell>
        </row>
        <row r="2027">
          <cell r="A2027">
            <v>39918</v>
          </cell>
        </row>
        <row r="2028">
          <cell r="A2028">
            <v>39919</v>
          </cell>
        </row>
        <row r="2029">
          <cell r="A2029">
            <v>39920</v>
          </cell>
        </row>
        <row r="2030">
          <cell r="A2030">
            <v>39921</v>
          </cell>
        </row>
        <row r="2031">
          <cell r="A2031">
            <v>39922</v>
          </cell>
        </row>
        <row r="2032">
          <cell r="A2032">
            <v>39923</v>
          </cell>
        </row>
        <row r="2033">
          <cell r="A2033">
            <v>39924</v>
          </cell>
        </row>
        <row r="2034">
          <cell r="A2034">
            <v>39925</v>
          </cell>
        </row>
        <row r="2035">
          <cell r="A2035">
            <v>39926</v>
          </cell>
        </row>
        <row r="2036">
          <cell r="A2036">
            <v>39927</v>
          </cell>
        </row>
        <row r="2037">
          <cell r="A2037">
            <v>39928</v>
          </cell>
        </row>
        <row r="2038">
          <cell r="A2038">
            <v>39929</v>
          </cell>
        </row>
        <row r="2039">
          <cell r="A2039">
            <v>39930</v>
          </cell>
        </row>
        <row r="2040">
          <cell r="A2040">
            <v>39931</v>
          </cell>
        </row>
        <row r="2041">
          <cell r="A2041">
            <v>39932</v>
          </cell>
        </row>
        <row r="2042">
          <cell r="A2042">
            <v>39933</v>
          </cell>
        </row>
        <row r="2043">
          <cell r="A2043">
            <v>39934</v>
          </cell>
        </row>
        <row r="2044">
          <cell r="A2044">
            <v>39935</v>
          </cell>
        </row>
        <row r="2045">
          <cell r="A2045">
            <v>39936</v>
          </cell>
        </row>
        <row r="2046">
          <cell r="A2046">
            <v>39937</v>
          </cell>
        </row>
        <row r="2047">
          <cell r="A2047">
            <v>39938</v>
          </cell>
        </row>
        <row r="2048">
          <cell r="A2048">
            <v>39939</v>
          </cell>
        </row>
        <row r="2049">
          <cell r="A2049">
            <v>39940</v>
          </cell>
        </row>
        <row r="2050">
          <cell r="A2050">
            <v>39941</v>
          </cell>
        </row>
        <row r="2051">
          <cell r="A2051">
            <v>39942</v>
          </cell>
        </row>
        <row r="2052">
          <cell r="A2052">
            <v>39943</v>
          </cell>
        </row>
        <row r="2053">
          <cell r="A2053">
            <v>39944</v>
          </cell>
        </row>
        <row r="2054">
          <cell r="A2054">
            <v>39945</v>
          </cell>
        </row>
        <row r="2055">
          <cell r="A2055">
            <v>39946</v>
          </cell>
        </row>
        <row r="2056">
          <cell r="A2056">
            <v>39947</v>
          </cell>
        </row>
        <row r="2057">
          <cell r="A2057">
            <v>39948</v>
          </cell>
        </row>
        <row r="2058">
          <cell r="A2058">
            <v>39949</v>
          </cell>
        </row>
        <row r="2059">
          <cell r="A2059">
            <v>39950</v>
          </cell>
        </row>
        <row r="2060">
          <cell r="A2060">
            <v>39951</v>
          </cell>
        </row>
        <row r="2061">
          <cell r="A2061">
            <v>39952</v>
          </cell>
        </row>
        <row r="2062">
          <cell r="A2062">
            <v>39953</v>
          </cell>
        </row>
        <row r="2063">
          <cell r="A2063">
            <v>39954</v>
          </cell>
        </row>
        <row r="2064">
          <cell r="A2064">
            <v>39955</v>
          </cell>
        </row>
        <row r="2065">
          <cell r="A2065">
            <v>39956</v>
          </cell>
        </row>
        <row r="2066">
          <cell r="A2066">
            <v>39957</v>
          </cell>
        </row>
        <row r="2067">
          <cell r="A2067">
            <v>39958</v>
          </cell>
        </row>
        <row r="2068">
          <cell r="A2068">
            <v>39959</v>
          </cell>
        </row>
        <row r="2069">
          <cell r="A2069">
            <v>39960</v>
          </cell>
        </row>
        <row r="2070">
          <cell r="A2070">
            <v>39961</v>
          </cell>
        </row>
        <row r="2071">
          <cell r="A2071">
            <v>39962</v>
          </cell>
        </row>
        <row r="2072">
          <cell r="A2072">
            <v>39963</v>
          </cell>
        </row>
        <row r="2073">
          <cell r="A2073">
            <v>39964</v>
          </cell>
        </row>
        <row r="2074">
          <cell r="A2074">
            <v>39965</v>
          </cell>
        </row>
        <row r="2075">
          <cell r="A2075">
            <v>39966</v>
          </cell>
        </row>
        <row r="2076">
          <cell r="A2076">
            <v>39967</v>
          </cell>
        </row>
        <row r="2077">
          <cell r="A2077">
            <v>39968</v>
          </cell>
        </row>
        <row r="2078">
          <cell r="A2078">
            <v>39969</v>
          </cell>
        </row>
        <row r="2079">
          <cell r="A2079">
            <v>39970</v>
          </cell>
        </row>
        <row r="2080">
          <cell r="A2080">
            <v>39971</v>
          </cell>
        </row>
        <row r="2081">
          <cell r="A2081">
            <v>39972</v>
          </cell>
        </row>
        <row r="2082">
          <cell r="A2082">
            <v>39973</v>
          </cell>
        </row>
        <row r="2083">
          <cell r="A2083">
            <v>39974</v>
          </cell>
        </row>
        <row r="2084">
          <cell r="A2084">
            <v>39975</v>
          </cell>
        </row>
        <row r="2085">
          <cell r="A2085">
            <v>39976</v>
          </cell>
        </row>
        <row r="2086">
          <cell r="A2086">
            <v>39977</v>
          </cell>
        </row>
        <row r="2087">
          <cell r="A2087">
            <v>39978</v>
          </cell>
        </row>
        <row r="2088">
          <cell r="A2088">
            <v>39979</v>
          </cell>
        </row>
        <row r="2089">
          <cell r="A2089">
            <v>39980</v>
          </cell>
        </row>
        <row r="2090">
          <cell r="A2090">
            <v>39981</v>
          </cell>
        </row>
        <row r="2091">
          <cell r="A2091">
            <v>39982</v>
          </cell>
        </row>
        <row r="2092">
          <cell r="A2092">
            <v>39983</v>
          </cell>
        </row>
        <row r="2093">
          <cell r="A2093">
            <v>39984</v>
          </cell>
        </row>
        <row r="2094">
          <cell r="A2094">
            <v>39985</v>
          </cell>
        </row>
        <row r="2095">
          <cell r="A2095">
            <v>39986</v>
          </cell>
        </row>
        <row r="2096">
          <cell r="A2096">
            <v>39987</v>
          </cell>
        </row>
        <row r="2097">
          <cell r="A2097">
            <v>39988</v>
          </cell>
        </row>
        <row r="2098">
          <cell r="A2098">
            <v>39989</v>
          </cell>
        </row>
        <row r="2099">
          <cell r="A2099">
            <v>39990</v>
          </cell>
        </row>
        <row r="2100">
          <cell r="A2100">
            <v>39991</v>
          </cell>
        </row>
        <row r="2101">
          <cell r="A2101">
            <v>39992</v>
          </cell>
        </row>
        <row r="2102">
          <cell r="A2102">
            <v>39993</v>
          </cell>
        </row>
        <row r="2103">
          <cell r="A2103">
            <v>39994</v>
          </cell>
        </row>
        <row r="2104">
          <cell r="A2104">
            <v>39995</v>
          </cell>
        </row>
        <row r="2105">
          <cell r="A2105">
            <v>39996</v>
          </cell>
        </row>
        <row r="2106">
          <cell r="A2106">
            <v>39997</v>
          </cell>
        </row>
        <row r="2107">
          <cell r="A2107">
            <v>39998</v>
          </cell>
        </row>
        <row r="2108">
          <cell r="A2108">
            <v>39999</v>
          </cell>
        </row>
        <row r="2109">
          <cell r="A2109">
            <v>40000</v>
          </cell>
        </row>
        <row r="2110">
          <cell r="A2110">
            <v>40001</v>
          </cell>
        </row>
        <row r="2111">
          <cell r="A2111">
            <v>40002</v>
          </cell>
        </row>
        <row r="2112">
          <cell r="A2112">
            <v>40003</v>
          </cell>
        </row>
      </sheetData>
      <sheetData sheetId="43" refreshError="1">
        <row r="3">
          <cell r="A3" t="str">
            <v>Выкуп земли</v>
          </cell>
        </row>
        <row r="4">
          <cell r="A4" t="str">
            <v>Выкуп земельных участков (120+740 кв.м)</v>
          </cell>
        </row>
        <row r="5">
          <cell r="A5" t="str">
            <v>Правоустанавливающие документы</v>
          </cell>
        </row>
        <row r="6">
          <cell r="A6" t="str">
            <v>Технический заказчик</v>
          </cell>
        </row>
        <row r="7">
          <cell r="A7" t="str">
            <v>Проектирование домов</v>
          </cell>
        </row>
        <row r="8">
          <cell r="A8" t="str">
            <v>Ген.проектирование и согласование</v>
          </cell>
        </row>
        <row r="9">
          <cell r="A9" t="str">
            <v>Реклама и маркетинг</v>
          </cell>
        </row>
        <row r="10">
          <cell r="A10" t="str">
            <v>Налоги и управленческие расходы</v>
          </cell>
        </row>
        <row r="11">
          <cell r="A11" t="str">
            <v>Авансирование работ СМР</v>
          </cell>
        </row>
        <row r="12">
          <cell r="A12" t="str">
            <v>Авансирование за счет средств ЗАО "РСЭ-М"</v>
          </cell>
        </row>
        <row r="13">
          <cell r="A13" t="str">
            <v>Иные расходы</v>
          </cell>
        </row>
        <row r="14">
          <cell r="A14" t="str">
            <v>Геодезич.работы</v>
          </cell>
        </row>
        <row r="15">
          <cell r="A15" t="str">
            <v>Авторский надзор</v>
          </cell>
        </row>
        <row r="16">
          <cell r="A16" t="str">
            <v>Возврат основной суммы долга</v>
          </cell>
        </row>
        <row r="17">
          <cell r="A17" t="str">
            <v>Проценты по кредитам/займам</v>
          </cell>
        </row>
        <row r="18">
          <cell r="A18" t="str">
            <v>Комиссия за невыборку</v>
          </cell>
        </row>
        <row r="19">
          <cell r="A19" t="str">
            <v>Покупка валюты</v>
          </cell>
        </row>
        <row r="20">
          <cell r="A20" t="str">
            <v>Охранные услуги</v>
          </cell>
        </row>
        <row r="21">
          <cell r="A21" t="str">
            <v>Возврат займа ГПБ</v>
          </cell>
        </row>
        <row r="22">
          <cell r="A22" t="str">
            <v>Возврат займов ЗАО "РСЭ-М"</v>
          </cell>
        </row>
        <row r="23">
          <cell r="A23" t="str">
            <v>Займ в пользу ГПБИ</v>
          </cell>
        </row>
        <row r="24">
          <cell r="A24" t="str">
            <v>Инвестиционный договор с ООО "ГПБИ"</v>
          </cell>
        </row>
        <row r="25">
          <cell r="A25" t="str">
            <v>Займ ГПБИ</v>
          </cell>
        </row>
        <row r="26">
          <cell r="A26" t="str">
            <v>Займ ЗАО "РСЭ-М"</v>
          </cell>
        </row>
        <row r="27">
          <cell r="A27" t="str">
            <v>Прочие поступления (возврат авансов, налогов, прочие)</v>
          </cell>
        </row>
        <row r="28">
          <cell r="A28" t="str">
            <v>Возврат авансов СМР</v>
          </cell>
        </row>
        <row r="29">
          <cell r="A29" t="str">
            <v>Возврат авансов ЗАО РСМ</v>
          </cell>
        </row>
        <row r="30">
          <cell r="A30" t="str">
            <v>Кредит "Эксимбанка"</v>
          </cell>
        </row>
        <row r="31">
          <cell r="A31" t="str">
            <v>Реализация домовладений</v>
          </cell>
        </row>
        <row r="40">
          <cell r="A40" t="str">
            <v xml:space="preserve"> Капитальные вложения Харкона</v>
          </cell>
        </row>
        <row r="41">
          <cell r="A41" t="str">
            <v>Страховой взнос кредита</v>
          </cell>
        </row>
        <row r="42">
          <cell r="A42" t="str">
            <v>Планировка территории</v>
          </cell>
        </row>
        <row r="43">
          <cell r="A43" t="str">
            <v>Перенос колодца водопровода</v>
          </cell>
        </row>
        <row r="44">
          <cell r="A44" t="str">
            <v>Вынос кабеля Ростелекома</v>
          </cell>
        </row>
        <row r="45">
          <cell r="A45" t="str">
            <v>Забор/Входная группа</v>
          </cell>
        </row>
        <row r="46">
          <cell r="A46" t="str">
            <v>Временная дорога</v>
          </cell>
        </row>
        <row r="47">
          <cell r="A47" t="str">
            <v>Инженерные сети</v>
          </cell>
        </row>
        <row r="48">
          <cell r="A48" t="str">
            <v>Электроснабжение</v>
          </cell>
        </row>
        <row r="49">
          <cell r="A49" t="str">
            <v>слаботочная канализация</v>
          </cell>
        </row>
        <row r="50">
          <cell r="A50" t="str">
            <v>Оплата Балитэкс за сети (1000 кВа)</v>
          </cell>
        </row>
        <row r="51">
          <cell r="A51" t="str">
            <v>ГАЗ</v>
          </cell>
        </row>
        <row r="52">
          <cell r="A52" t="str">
            <v>строительство КНС</v>
          </cell>
        </row>
        <row r="53">
          <cell r="A53" t="str">
            <v>очистные сооружения</v>
          </cell>
        </row>
        <row r="54">
          <cell r="A54" t="str">
            <v>Строительство домов</v>
          </cell>
        </row>
        <row r="55">
          <cell r="A55" t="str">
            <v>Инженерия домов</v>
          </cell>
        </row>
        <row r="56">
          <cell r="A56" t="str">
            <v>остекление, окна</v>
          </cell>
        </row>
        <row r="57">
          <cell r="A57" t="str">
            <v>Материалы:</v>
          </cell>
        </row>
        <row r="58">
          <cell r="A58" t="str">
            <v>Охранные услуги</v>
          </cell>
        </row>
        <row r="59">
          <cell r="A59" t="str">
            <v>Э/энергия</v>
          </cell>
        </row>
        <row r="60">
          <cell r="A60" t="str">
            <v>Благоустройство</v>
          </cell>
        </row>
        <row r="61">
          <cell r="A61" t="str">
            <v>площадка складирования и под городок.</v>
          </cell>
        </row>
        <row r="62">
          <cell r="A62" t="str">
            <v>Мобилизация</v>
          </cell>
        </row>
        <row r="63">
          <cell r="A63" t="str">
            <v>Иные услуги</v>
          </cell>
        </row>
        <row r="64">
          <cell r="A64" t="str">
            <v>Оплата генподрядчика</v>
          </cell>
        </row>
        <row r="65">
          <cell r="A65" t="str">
            <v>Кредит "Эксимбанка"</v>
          </cell>
        </row>
        <row r="66">
          <cell r="A66" t="str">
            <v>Учет аванса</v>
          </cell>
        </row>
        <row r="72">
          <cell r="A72" t="str">
            <v>НП "ЛИОН"</v>
          </cell>
        </row>
        <row r="73">
          <cell r="A73" t="str">
            <v>Налоги и управленческие расходы</v>
          </cell>
        </row>
        <row r="74">
          <cell r="A74" t="str">
            <v>Оплата за 30% долей БАЛИТЭКС</v>
          </cell>
        </row>
        <row r="75">
          <cell r="A75" t="str">
            <v>Взнос участников</v>
          </cell>
        </row>
        <row r="83">
          <cell r="A83" t="str">
            <v>Приобретение 100% ООО"Эксперт"</v>
          </cell>
        </row>
        <row r="84">
          <cell r="A84" t="str">
            <v>Инвестиционный договор с ООО "Эксперт"</v>
          </cell>
        </row>
        <row r="85">
          <cell r="A85" t="str">
            <v>Коммерческие расходы</v>
          </cell>
        </row>
        <row r="86">
          <cell r="A86" t="str">
            <v>Увеличение УК OOO  "Балитекс"</v>
          </cell>
        </row>
        <row r="87">
          <cell r="A87" t="str">
            <v>Прочие расходы</v>
          </cell>
        </row>
        <row r="88">
          <cell r="A88" t="str">
            <v>Займы Эксперту и Балитексу</v>
          </cell>
        </row>
        <row r="89">
          <cell r="A89" t="str">
            <v>реализация домовладений</v>
          </cell>
        </row>
        <row r="90">
          <cell r="A90" t="str">
            <v>Оплата  за 30% долей БАЛИТЭКС"</v>
          </cell>
        </row>
        <row r="91">
          <cell r="A91" t="str">
            <v>Возврат займов Балитекс и Эксперт</v>
          </cell>
        </row>
        <row r="92">
          <cell r="A92" t="str">
            <v>Займы от Эксперта</v>
          </cell>
        </row>
        <row r="93">
          <cell r="A93" t="str">
            <v>Погашение векселя от Балитэкс</v>
          </cell>
        </row>
        <row r="100">
          <cell r="A100" t="str">
            <v>Расходы на подключение  к инфраструктуре</v>
          </cell>
        </row>
        <row r="101">
          <cell r="A101" t="str">
            <v>Возврат займов (РСЭМ, Стройэкспо, ГПБИ)</v>
          </cell>
        </row>
        <row r="102">
          <cell r="A102" t="str">
            <v>Оплата за выполненные работы</v>
          </cell>
        </row>
        <row r="103">
          <cell r="A103" t="str">
            <v>Получение займов (РСЭМ, Стройэкспо, ГПБИ)</v>
          </cell>
        </row>
        <row r="104">
          <cell r="A104" t="str">
            <v>Увеличение УК от GPBI</v>
          </cell>
        </row>
        <row r="105">
          <cell r="A105" t="str">
            <v>Погашение векселя, купленного ГПБИ</v>
          </cell>
        </row>
      </sheetData>
      <sheetData sheetId="44" refreshError="1"/>
      <sheetData sheetId="45" refreshError="1"/>
      <sheetData sheetId="46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орудование"/>
      <sheetName val="Оборудование физ износ"/>
      <sheetName val="Расчет накопленного износа"/>
      <sheetName val="Сравнительный подход"/>
      <sheetName val="Согласование"/>
      <sheetName val="Лист3"/>
      <sheetName val="Работы"/>
      <sheetName val="Лист1"/>
      <sheetName val="Лист4"/>
      <sheetName val="Sheet1"/>
      <sheetName val="Служебны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7">
          <cell r="B7">
            <v>38991</v>
          </cell>
        </row>
      </sheetData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се ОС"/>
      <sheetName val="Расчет&gt;&gt;"/>
      <sheetName val="Индексы"/>
      <sheetName val="Оборудование"/>
      <sheetName val="Авто"/>
      <sheetName val="ИТОГИ"/>
      <sheetName val="Реестр"/>
      <sheetName val="Справочные данные&gt;&gt;"/>
      <sheetName val="Скидки оборуд."/>
      <sheetName val="Маршалл и Свифт"/>
      <sheetName val="ГКС"/>
      <sheetName val="Группы имущества"/>
      <sheetName val="Вид зависимости"/>
      <sheetName val="Амортизационная группа"/>
    </sheetNames>
    <sheetDataSet>
      <sheetData sheetId="0">
        <row r="1">
          <cell r="B1">
            <v>42370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осст"/>
      <sheetName val="износ"/>
      <sheetName val="рын"/>
      <sheetName val="индекс пересчета"/>
      <sheetName val="перечень арендуемого оборуд-я"/>
    </sheetNames>
    <sheetDataSet>
      <sheetData sheetId="0"/>
      <sheetData sheetId="1">
        <row r="1">
          <cell r="A1" t="str">
            <v>№ п/п</v>
          </cell>
          <cell r="B1" t="str">
            <v>Наименование</v>
          </cell>
          <cell r="C1" t="str">
            <v xml:space="preserve">Год ввода </v>
          </cell>
          <cell r="D1" t="str">
            <v>Физический износ, %</v>
          </cell>
        </row>
        <row r="2">
          <cell r="A2">
            <v>1</v>
          </cell>
          <cell r="B2" t="str">
            <v>Газовая котельная большая производственная</v>
          </cell>
          <cell r="C2">
            <v>2001</v>
          </cell>
          <cell r="D2">
            <v>15</v>
          </cell>
        </row>
        <row r="3">
          <cell r="A3">
            <v>2</v>
          </cell>
          <cell r="B3" t="str">
            <v>Газовая котельная малая административная</v>
          </cell>
          <cell r="C3">
            <v>2001</v>
          </cell>
          <cell r="D3">
            <v>15</v>
          </cell>
        </row>
        <row r="4">
          <cell r="A4">
            <v>3</v>
          </cell>
          <cell r="B4" t="str">
            <v>Капитальные вложения в арендованные здания</v>
          </cell>
          <cell r="C4" t="str">
            <v>2003-2004</v>
          </cell>
          <cell r="D4">
            <v>5</v>
          </cell>
        </row>
        <row r="5">
          <cell r="A5">
            <v>4</v>
          </cell>
          <cell r="B5" t="str">
            <v>Цифровая телефонная станция, в т.ч.:</v>
          </cell>
          <cell r="C5">
            <v>2004</v>
          </cell>
          <cell r="D5">
            <v>5</v>
          </cell>
        </row>
        <row r="6">
          <cell r="B6" t="str">
            <v>монтажный адаптер</v>
          </cell>
        </row>
        <row r="7">
          <cell r="B7" t="str">
            <v>скоба монтажная на 11 посадочных мест</v>
          </cell>
        </row>
        <row r="8">
          <cell r="B8" t="str">
            <v>плинт 10*2 с разрывным контактом (Интеркросс)</v>
          </cell>
        </row>
        <row r="9">
          <cell r="B9" t="str">
            <v>LDK-300 Basic-базовый блок (9 платомест, МРВ, PMU, AC/DC, RGU)</v>
          </cell>
        </row>
        <row r="10">
          <cell r="B10" t="str">
            <v>LDK-300 SLIB 2E-плата на 12 стандартных телефонов</v>
          </cell>
        </row>
        <row r="11">
          <cell r="B11" t="str">
            <v>LDK-300 DTIB 12-плата на 12 цифровых телефонов</v>
          </cell>
        </row>
        <row r="12">
          <cell r="B12" t="str">
            <v>LDK-300 LCOB 8-плата на 8 городских линий</v>
          </cell>
        </row>
        <row r="13">
          <cell r="B13" t="str">
            <v>LKD-30D-цифровой телефон на 30 программируемых кнопок с дисплеем</v>
          </cell>
        </row>
        <row r="14">
          <cell r="B14" t="str">
            <v>LKD-30LD-цифровой телефон на 30 программируемых кнопок с большим дисплеем</v>
          </cell>
        </row>
        <row r="15">
          <cell r="B15" t="str">
            <v>LKD-DSS-консоль расширеная на 48 кнопок</v>
          </cell>
        </row>
        <row r="16">
          <cell r="B16" t="str">
            <v>INST KIT 25-монтажный комплекс (25-портовый)</v>
          </cell>
        </row>
        <row r="17">
          <cell r="A17">
            <v>5</v>
          </cell>
          <cell r="B17" t="str">
            <v>Забор 400мм</v>
          </cell>
          <cell r="C17">
            <v>1967</v>
          </cell>
          <cell r="D17">
            <v>65</v>
          </cell>
        </row>
        <row r="18">
          <cell r="A18">
            <v>6</v>
          </cell>
          <cell r="B18" t="str">
            <v>Металлические ворота</v>
          </cell>
          <cell r="C18">
            <v>2002</v>
          </cell>
          <cell r="D18">
            <v>10</v>
          </cell>
        </row>
        <row r="19">
          <cell r="A19">
            <v>7</v>
          </cell>
          <cell r="B19" t="str">
            <v>Камера с гидрофильтром</v>
          </cell>
          <cell r="C19">
            <v>1986</v>
          </cell>
          <cell r="D19">
            <v>45</v>
          </cell>
        </row>
        <row r="20">
          <cell r="A20">
            <v>8</v>
          </cell>
          <cell r="B20" t="str">
            <v>Трубозакатный автомат ОД-45</v>
          </cell>
          <cell r="C20">
            <v>1990</v>
          </cell>
          <cell r="D20">
            <v>35</v>
          </cell>
        </row>
        <row r="21">
          <cell r="A21">
            <v>9</v>
          </cell>
          <cell r="B21" t="str">
            <v>Ванна капиллярного лужения</v>
          </cell>
          <cell r="C21">
            <v>1990</v>
          </cell>
          <cell r="D21">
            <v>35</v>
          </cell>
        </row>
        <row r="22">
          <cell r="A22">
            <v>10</v>
          </cell>
          <cell r="B22" t="str">
            <v>Полуавтоматический стенд сборки</v>
          </cell>
          <cell r="C22">
            <v>1976</v>
          </cell>
          <cell r="D22">
            <v>55</v>
          </cell>
        </row>
        <row r="23">
          <cell r="A23">
            <v>11</v>
          </cell>
          <cell r="B23" t="str">
            <v>Полуавтоматический стенд сборки</v>
          </cell>
          <cell r="C23">
            <v>1977</v>
          </cell>
          <cell r="D23">
            <v>55</v>
          </cell>
        </row>
        <row r="24">
          <cell r="A24">
            <v>12</v>
          </cell>
          <cell r="B24" t="str">
            <v>Автомат сборки ОД-52</v>
          </cell>
          <cell r="C24">
            <v>1990</v>
          </cell>
          <cell r="D24">
            <v>35</v>
          </cell>
        </row>
        <row r="25">
          <cell r="A25">
            <v>13</v>
          </cell>
          <cell r="B25" t="str">
            <v>Автомат сборки ОД-52</v>
          </cell>
          <cell r="C25">
            <v>1986</v>
          </cell>
          <cell r="D25">
            <v>45</v>
          </cell>
        </row>
        <row r="26">
          <cell r="A26">
            <v>14</v>
          </cell>
          <cell r="B26" t="str">
            <v>Автомат сборки ОД-52</v>
          </cell>
          <cell r="C26">
            <v>1990</v>
          </cell>
          <cell r="D26">
            <v>35</v>
          </cell>
        </row>
        <row r="27">
          <cell r="A27">
            <v>15</v>
          </cell>
          <cell r="B27" t="str">
            <v>Пресс кривошипный</v>
          </cell>
          <cell r="C27">
            <v>1959</v>
          </cell>
          <cell r="D27">
            <v>75</v>
          </cell>
        </row>
        <row r="28">
          <cell r="A28">
            <v>16</v>
          </cell>
          <cell r="B28" t="str">
            <v>Вентиляторы ВЦ-14-46-8Л                  (2 шт.)</v>
          </cell>
          <cell r="C28">
            <v>2002</v>
          </cell>
          <cell r="D28">
            <v>10</v>
          </cell>
        </row>
        <row r="29">
          <cell r="A29">
            <v>17</v>
          </cell>
          <cell r="B29" t="str">
            <v>Печь НК 12-10 6/4</v>
          </cell>
          <cell r="C29">
            <v>2002</v>
          </cell>
          <cell r="D29">
            <v>10</v>
          </cell>
        </row>
        <row r="30">
          <cell r="A30">
            <v>18</v>
          </cell>
          <cell r="B30" t="str">
            <v>Кран мостовой</v>
          </cell>
          <cell r="C30">
            <v>1989</v>
          </cell>
          <cell r="D30">
            <v>40</v>
          </cell>
        </row>
        <row r="31">
          <cell r="A31">
            <v>19</v>
          </cell>
          <cell r="B31" t="str">
            <v>Кран мостовой однобалочный</v>
          </cell>
          <cell r="C31">
            <v>1987</v>
          </cell>
          <cell r="D31">
            <v>45</v>
          </cell>
        </row>
        <row r="32">
          <cell r="A32">
            <v>20</v>
          </cell>
          <cell r="B32" t="str">
            <v>Кран мостовой однобалочный</v>
          </cell>
          <cell r="C32">
            <v>1959</v>
          </cell>
          <cell r="D32">
            <v>75</v>
          </cell>
        </row>
        <row r="33">
          <cell r="A33">
            <v>21</v>
          </cell>
          <cell r="B33" t="str">
            <v>Станок универсальный фрезерный</v>
          </cell>
          <cell r="C33">
            <v>1985</v>
          </cell>
          <cell r="D33">
            <v>45</v>
          </cell>
        </row>
        <row r="34">
          <cell r="A34">
            <v>22</v>
          </cell>
          <cell r="B34" t="str">
            <v>Консольно-фрезерный станок</v>
          </cell>
          <cell r="C34">
            <v>1979</v>
          </cell>
          <cell r="D34">
            <v>55</v>
          </cell>
        </row>
        <row r="35">
          <cell r="A35">
            <v>23</v>
          </cell>
          <cell r="B35" t="str">
            <v>Вертикально-фрезерный станок</v>
          </cell>
          <cell r="C35">
            <v>1991</v>
          </cell>
          <cell r="D35">
            <v>35</v>
          </cell>
        </row>
        <row r="36">
          <cell r="A36">
            <v>24</v>
          </cell>
          <cell r="B36" t="str">
            <v>Фрезерный станок</v>
          </cell>
          <cell r="C36">
            <v>1990</v>
          </cell>
          <cell r="D36">
            <v>35</v>
          </cell>
        </row>
        <row r="37">
          <cell r="A37">
            <v>25</v>
          </cell>
          <cell r="B37" t="str">
            <v>Универсально заточный станок</v>
          </cell>
          <cell r="C37">
            <v>1976</v>
          </cell>
          <cell r="D37">
            <v>55</v>
          </cell>
        </row>
        <row r="38">
          <cell r="A38">
            <v>26</v>
          </cell>
          <cell r="B38" t="str">
            <v>Токарно-винторезный станок               1к 625</v>
          </cell>
          <cell r="C38">
            <v>1971</v>
          </cell>
          <cell r="D38">
            <v>60</v>
          </cell>
        </row>
        <row r="39">
          <cell r="A39">
            <v>27</v>
          </cell>
          <cell r="B39" t="str">
            <v>Токарно-винторезный станок               1к 625</v>
          </cell>
          <cell r="C39">
            <v>2000</v>
          </cell>
          <cell r="D39">
            <v>20</v>
          </cell>
        </row>
        <row r="40">
          <cell r="A40">
            <v>28</v>
          </cell>
          <cell r="B40" t="str">
            <v>Линия мойки деталей</v>
          </cell>
          <cell r="C40">
            <v>1963</v>
          </cell>
          <cell r="D40">
            <v>70</v>
          </cell>
        </row>
        <row r="41">
          <cell r="A41">
            <v>29</v>
          </cell>
          <cell r="B41" t="str">
            <v>Правильно-размоточная машина</v>
          </cell>
          <cell r="C41">
            <v>1982</v>
          </cell>
          <cell r="D41">
            <v>50</v>
          </cell>
        </row>
        <row r="42">
          <cell r="A42">
            <v>30</v>
          </cell>
          <cell r="B42" t="str">
            <v>Ножницы листовые</v>
          </cell>
          <cell r="C42">
            <v>1966</v>
          </cell>
          <cell r="D42">
            <v>65</v>
          </cell>
        </row>
        <row r="43">
          <cell r="A43">
            <v>31</v>
          </cell>
          <cell r="B43" t="str">
            <v>Ножницы листовые</v>
          </cell>
          <cell r="C43">
            <v>1985</v>
          </cell>
          <cell r="D43">
            <v>45</v>
          </cell>
        </row>
        <row r="44">
          <cell r="A44">
            <v>32</v>
          </cell>
          <cell r="B44" t="str">
            <v>Сварочный полуавтомат            ПДГ-403</v>
          </cell>
          <cell r="C44">
            <v>2000</v>
          </cell>
          <cell r="D44">
            <v>20</v>
          </cell>
        </row>
        <row r="45">
          <cell r="A45">
            <v>33</v>
          </cell>
          <cell r="B45" t="str">
            <v>Пресс однокривошипный 40тн</v>
          </cell>
          <cell r="C45">
            <v>1974</v>
          </cell>
          <cell r="D45">
            <v>60</v>
          </cell>
        </row>
        <row r="46">
          <cell r="A46">
            <v>34</v>
          </cell>
          <cell r="B46" t="str">
            <v>Пресс 2-х кривошипный                мод. 3732 160тн</v>
          </cell>
          <cell r="C46">
            <v>1976</v>
          </cell>
          <cell r="D46">
            <v>55</v>
          </cell>
        </row>
        <row r="47">
          <cell r="A47">
            <v>35</v>
          </cell>
          <cell r="B47" t="str">
            <v>Пресс 2-х кривошипный                мод. 353 4А</v>
          </cell>
          <cell r="C47">
            <v>1983</v>
          </cell>
          <cell r="D47">
            <v>50</v>
          </cell>
        </row>
        <row r="48">
          <cell r="A48">
            <v>36</v>
          </cell>
          <cell r="B48" t="str">
            <v>Пресс 2-х кривошипный  ус. 500 тн</v>
          </cell>
          <cell r="C48">
            <v>1982</v>
          </cell>
          <cell r="D48">
            <v>50</v>
          </cell>
        </row>
        <row r="49">
          <cell r="A49">
            <v>37</v>
          </cell>
          <cell r="B49" t="str">
            <v>Пресс 2-х кривошипный  800 тн</v>
          </cell>
          <cell r="C49">
            <v>1959</v>
          </cell>
          <cell r="D49">
            <v>75</v>
          </cell>
        </row>
        <row r="50">
          <cell r="A50">
            <v>38</v>
          </cell>
          <cell r="B50" t="str">
            <v>Плоскошлифовальный станок</v>
          </cell>
          <cell r="C50">
            <v>1993</v>
          </cell>
          <cell r="D50">
            <v>35</v>
          </cell>
        </row>
        <row r="51">
          <cell r="A51">
            <v>39</v>
          </cell>
          <cell r="B51" t="str">
            <v>Пресс механический КЕ 2130А</v>
          </cell>
          <cell r="C51">
            <v>2001</v>
          </cell>
          <cell r="D51">
            <v>15</v>
          </cell>
        </row>
        <row r="52">
          <cell r="A52">
            <v>40</v>
          </cell>
          <cell r="B52" t="str">
            <v>Шкаф вытяжной</v>
          </cell>
          <cell r="C52">
            <v>2003</v>
          </cell>
          <cell r="D52">
            <v>10</v>
          </cell>
        </row>
        <row r="53">
          <cell r="A53">
            <v>41</v>
          </cell>
          <cell r="B53" t="str">
            <v>Сварочный аппарат "Модуль-250"</v>
          </cell>
          <cell r="C53">
            <v>2004</v>
          </cell>
          <cell r="D53">
            <v>5</v>
          </cell>
        </row>
        <row r="54">
          <cell r="A54">
            <v>42</v>
          </cell>
          <cell r="B54" t="str">
            <v>Трансформатор силовой</v>
          </cell>
          <cell r="C54">
            <v>1971</v>
          </cell>
          <cell r="D54">
            <v>60</v>
          </cell>
        </row>
        <row r="55">
          <cell r="A55">
            <v>43</v>
          </cell>
          <cell r="B55" t="str">
            <v>Измерительное устройство</v>
          </cell>
          <cell r="C55">
            <v>1982</v>
          </cell>
          <cell r="D55">
            <v>50</v>
          </cell>
        </row>
        <row r="56">
          <cell r="A56">
            <v>44</v>
          </cell>
          <cell r="B56" t="str">
            <v>Компрессор объемный роторный Б:БА75 AFF-7,5 (2 шт.)</v>
          </cell>
          <cell r="C56">
            <v>2002</v>
          </cell>
          <cell r="D56">
            <v>10</v>
          </cell>
        </row>
        <row r="57">
          <cell r="A57">
            <v>45</v>
          </cell>
          <cell r="B57" t="str">
            <v>Ресивер воздушный вертикальный LV911 CE (5 шт.)</v>
          </cell>
          <cell r="C57">
            <v>2002</v>
          </cell>
          <cell r="D57">
            <v>10</v>
          </cell>
        </row>
        <row r="58">
          <cell r="A58">
            <v>46</v>
          </cell>
          <cell r="B58" t="str">
            <v>Электронагреватель (2 шт.)</v>
          </cell>
          <cell r="C58">
            <v>2004</v>
          </cell>
          <cell r="D58">
            <v>5</v>
          </cell>
        </row>
        <row r="59">
          <cell r="A59">
            <v>47</v>
          </cell>
          <cell r="B59" t="str">
            <v>Копировальный аппарат Ricon FT-4615</v>
          </cell>
          <cell r="C59">
            <v>2000</v>
          </cell>
          <cell r="D59">
            <v>20</v>
          </cell>
        </row>
        <row r="60">
          <cell r="A60">
            <v>48</v>
          </cell>
          <cell r="B60" t="str">
            <v>Компьютеры, в т.ч.</v>
          </cell>
        </row>
        <row r="61">
          <cell r="B61" t="str">
            <v>Celeron 466</v>
          </cell>
          <cell r="C61">
            <v>2000</v>
          </cell>
          <cell r="D61">
            <v>20</v>
          </cell>
        </row>
        <row r="62">
          <cell r="B62" t="str">
            <v>Cnrintel</v>
          </cell>
          <cell r="C62">
            <v>2001</v>
          </cell>
          <cell r="D62">
            <v>15</v>
          </cell>
        </row>
        <row r="63">
          <cell r="B63" t="str">
            <v>Packard Bell</v>
          </cell>
          <cell r="C63">
            <v>2001</v>
          </cell>
          <cell r="D63">
            <v>15</v>
          </cell>
        </row>
        <row r="64">
          <cell r="B64" t="str">
            <v xml:space="preserve">Celeron </v>
          </cell>
          <cell r="C64">
            <v>2000</v>
          </cell>
          <cell r="D64">
            <v>20</v>
          </cell>
        </row>
        <row r="65">
          <cell r="B65" t="str">
            <v xml:space="preserve">Celeron </v>
          </cell>
          <cell r="C65">
            <v>2001</v>
          </cell>
          <cell r="D65">
            <v>15</v>
          </cell>
        </row>
        <row r="66">
          <cell r="B66" t="str">
            <v>Монитор 15"LCD с системным блоком</v>
          </cell>
          <cell r="C66">
            <v>2003</v>
          </cell>
          <cell r="D66">
            <v>10</v>
          </cell>
        </row>
        <row r="67">
          <cell r="B67" t="str">
            <v>Монитор 15"Samsung</v>
          </cell>
          <cell r="C67">
            <v>2001</v>
          </cell>
          <cell r="D67">
            <v>15</v>
          </cell>
        </row>
        <row r="68">
          <cell r="B68" t="str">
            <v>Принтер струйный (2 шт.)</v>
          </cell>
          <cell r="C68">
            <v>2000</v>
          </cell>
          <cell r="D68">
            <v>20</v>
          </cell>
        </row>
        <row r="69">
          <cell r="B69" t="str">
            <v>Сеть компьютерная</v>
          </cell>
          <cell r="C69">
            <v>2001</v>
          </cell>
          <cell r="D69">
            <v>15</v>
          </cell>
        </row>
        <row r="70">
          <cell r="A70">
            <v>49</v>
          </cell>
          <cell r="B70" t="str">
            <v>Системный блок</v>
          </cell>
          <cell r="C70">
            <v>2003</v>
          </cell>
          <cell r="D70">
            <v>10</v>
          </cell>
        </row>
        <row r="71">
          <cell r="A71">
            <v>50</v>
          </cell>
          <cell r="B71" t="str">
            <v>Прицеп автомобильный</v>
          </cell>
          <cell r="C71">
            <v>1995</v>
          </cell>
          <cell r="D71">
            <v>30</v>
          </cell>
        </row>
        <row r="72">
          <cell r="A72">
            <v>51</v>
          </cell>
          <cell r="B72" t="str">
            <v>Автомашина КАМАЗ 5320</v>
          </cell>
          <cell r="C72">
            <v>1991</v>
          </cell>
          <cell r="D72">
            <v>93.769744457512274</v>
          </cell>
        </row>
        <row r="73">
          <cell r="A73">
            <v>52</v>
          </cell>
          <cell r="B73" t="str">
            <v>Автомашина КАМАЗ 55111</v>
          </cell>
          <cell r="C73">
            <v>1991</v>
          </cell>
          <cell r="D73">
            <v>89.837277798465635</v>
          </cell>
        </row>
        <row r="74">
          <cell r="A74">
            <v>53</v>
          </cell>
          <cell r="B74" t="str">
            <v>Автомобиль ЗИЛ 5301АО</v>
          </cell>
          <cell r="C74">
            <v>2001</v>
          </cell>
          <cell r="D74">
            <v>53.535612188003924</v>
          </cell>
        </row>
        <row r="75">
          <cell r="A75">
            <v>54</v>
          </cell>
          <cell r="B75" t="str">
            <v>Трактор МТЗ-80</v>
          </cell>
          <cell r="C75">
            <v>1988</v>
          </cell>
          <cell r="D75">
            <v>40</v>
          </cell>
        </row>
        <row r="76">
          <cell r="A76">
            <v>55</v>
          </cell>
          <cell r="B76" t="str">
            <v>Автопогрузчик 4045</v>
          </cell>
          <cell r="C76">
            <v>1989</v>
          </cell>
          <cell r="D76">
            <v>40</v>
          </cell>
        </row>
        <row r="77">
          <cell r="A77">
            <v>56</v>
          </cell>
          <cell r="B77" t="str">
            <v>Автопогрузчик 4043</v>
          </cell>
          <cell r="C77">
            <v>2001</v>
          </cell>
          <cell r="D77">
            <v>15</v>
          </cell>
        </row>
        <row r="78">
          <cell r="A78">
            <v>57</v>
          </cell>
          <cell r="B78" t="str">
            <v>Дизельный погрузчик                                 ДП-1604-2-3</v>
          </cell>
          <cell r="C78">
            <v>2002</v>
          </cell>
          <cell r="D78">
            <v>10</v>
          </cell>
        </row>
        <row r="79">
          <cell r="A79">
            <v>58</v>
          </cell>
          <cell r="B79" t="str">
            <v>Автомобиль Тойота RAV-4</v>
          </cell>
          <cell r="C79">
            <v>2001</v>
          </cell>
          <cell r="D79">
            <v>35.485279510024327</v>
          </cell>
        </row>
        <row r="80">
          <cell r="A80">
            <v>59</v>
          </cell>
          <cell r="B80" t="str">
            <v>Комбинированный деревообрабатывающий станок</v>
          </cell>
          <cell r="C80">
            <v>1991</v>
          </cell>
          <cell r="D80">
            <v>35</v>
          </cell>
        </row>
        <row r="81">
          <cell r="A81">
            <v>60</v>
          </cell>
          <cell r="B81" t="str">
            <v>Установка "Циклон"</v>
          </cell>
          <cell r="C81">
            <v>1987</v>
          </cell>
          <cell r="D81">
            <v>45</v>
          </cell>
        </row>
        <row r="82">
          <cell r="A82">
            <v>61</v>
          </cell>
          <cell r="B82" t="str">
            <v>Автоматический шлагбаум</v>
          </cell>
          <cell r="C82">
            <v>2002</v>
          </cell>
          <cell r="D82">
            <v>10</v>
          </cell>
        </row>
        <row r="83">
          <cell r="A83">
            <v>62</v>
          </cell>
          <cell r="B83" t="str">
            <v>Турникеты (3 шт.)</v>
          </cell>
          <cell r="C83" t="str">
            <v>2002-2004</v>
          </cell>
          <cell r="D83">
            <v>10</v>
          </cell>
        </row>
        <row r="84">
          <cell r="A84">
            <v>63</v>
          </cell>
          <cell r="B84" t="str">
            <v>Видеокамеры, в т.ч.:</v>
          </cell>
        </row>
        <row r="85">
          <cell r="B85" t="str">
            <v>Видеокамера МК 3320 с установкой</v>
          </cell>
          <cell r="C85">
            <v>2003</v>
          </cell>
          <cell r="D85">
            <v>10</v>
          </cell>
        </row>
        <row r="86">
          <cell r="B86" t="str">
            <v>Видеокамера ОТВ-5704А и видеокамера в ИК-датчике с установкой</v>
          </cell>
          <cell r="C86">
            <v>2003</v>
          </cell>
          <cell r="D86">
            <v>10</v>
          </cell>
        </row>
        <row r="87">
          <cell r="A87">
            <v>64</v>
          </cell>
          <cell r="B87" t="str">
            <v>Стенды информационные</v>
          </cell>
          <cell r="C87" t="str">
            <v>2003-2004</v>
          </cell>
          <cell r="D87">
            <v>5</v>
          </cell>
        </row>
        <row r="88">
          <cell r="A88">
            <v>65</v>
          </cell>
          <cell r="B88" t="str">
            <v xml:space="preserve">Мебель разная </v>
          </cell>
          <cell r="C88" t="str">
            <v>2002-2004</v>
          </cell>
          <cell r="D88">
            <v>10</v>
          </cell>
        </row>
        <row r="89">
          <cell r="A89">
            <v>66</v>
          </cell>
          <cell r="B89" t="str">
            <v>Кондиционеры, в т.ч.:</v>
          </cell>
        </row>
        <row r="90">
          <cell r="B90" t="str">
            <v>Кондиционер KFR 26 GW</v>
          </cell>
          <cell r="C90">
            <v>2004</v>
          </cell>
          <cell r="D90">
            <v>5</v>
          </cell>
        </row>
        <row r="91">
          <cell r="B91" t="str">
            <v>Кондиционер Vitek VT-2007</v>
          </cell>
          <cell r="C91">
            <v>2004</v>
          </cell>
          <cell r="D91">
            <v>5</v>
          </cell>
        </row>
        <row r="92">
          <cell r="B92" t="str">
            <v>Кондиционер KFR 20 GW</v>
          </cell>
          <cell r="C92">
            <v>2004</v>
          </cell>
          <cell r="D92">
            <v>5</v>
          </cell>
        </row>
        <row r="93">
          <cell r="B93" t="str">
            <v>Кондиционер KFR 35 GW</v>
          </cell>
          <cell r="C93">
            <v>2004</v>
          </cell>
          <cell r="D93">
            <v>5</v>
          </cell>
        </row>
        <row r="94">
          <cell r="B94" t="str">
            <v>Кондиционер Vitek VT-2009</v>
          </cell>
          <cell r="C94">
            <v>2004</v>
          </cell>
          <cell r="D94">
            <v>5</v>
          </cell>
        </row>
        <row r="95">
          <cell r="B95" t="str">
            <v>Кондиционер TRM-18M</v>
          </cell>
          <cell r="C95">
            <v>2004</v>
          </cell>
          <cell r="D95">
            <v>5</v>
          </cell>
        </row>
        <row r="96">
          <cell r="B96" t="str">
            <v>Кондиционер KFR 65LW/D</v>
          </cell>
          <cell r="C96">
            <v>2004</v>
          </cell>
          <cell r="D96">
            <v>5</v>
          </cell>
        </row>
        <row r="97">
          <cell r="B97" t="str">
            <v>Кондиционер WMN 1616 RC</v>
          </cell>
          <cell r="C97">
            <v>2004</v>
          </cell>
          <cell r="D97">
            <v>5</v>
          </cell>
        </row>
        <row r="98">
          <cell r="B98" t="str">
            <v>Кондиционер WMN 1616 RC</v>
          </cell>
          <cell r="C98">
            <v>2004</v>
          </cell>
          <cell r="D98">
            <v>5</v>
          </cell>
        </row>
        <row r="99">
          <cell r="A99">
            <v>67</v>
          </cell>
          <cell r="B99" t="str">
            <v>Автоматизированное рабочее место</v>
          </cell>
          <cell r="C99">
            <v>2002</v>
          </cell>
          <cell r="D99">
            <v>10</v>
          </cell>
        </row>
        <row r="100">
          <cell r="A100">
            <v>68</v>
          </cell>
          <cell r="B100" t="str">
            <v>Монитор Samsung</v>
          </cell>
          <cell r="C100">
            <v>2003</v>
          </cell>
          <cell r="D100">
            <v>10</v>
          </cell>
        </row>
        <row r="101">
          <cell r="A101">
            <v>69</v>
          </cell>
          <cell r="B101" t="str">
            <v>Другие</v>
          </cell>
          <cell r="D101">
            <v>25</v>
          </cell>
        </row>
        <row r="102">
          <cell r="B102" t="str">
            <v>ИТОГО</v>
          </cell>
        </row>
        <row r="105">
          <cell r="A105" t="str">
            <v>№ п/п</v>
          </cell>
          <cell r="B105" t="str">
            <v>Наименование</v>
          </cell>
          <cell r="C105" t="str">
            <v xml:space="preserve">Год ввода </v>
          </cell>
          <cell r="D105" t="str">
            <v>Балансовая стоимость, руб.</v>
          </cell>
        </row>
        <row r="106">
          <cell r="A106">
            <v>51</v>
          </cell>
          <cell r="B106" t="str">
            <v>Автомашина КАМАЗ 5320</v>
          </cell>
          <cell r="C106">
            <v>1991</v>
          </cell>
          <cell r="D106">
            <v>68381.259999999995</v>
          </cell>
        </row>
        <row r="107">
          <cell r="A107">
            <v>52</v>
          </cell>
          <cell r="B107" t="str">
            <v>Автомашина КАМАЗ 55111</v>
          </cell>
          <cell r="C107">
            <v>1991</v>
          </cell>
          <cell r="D107">
            <v>27725.26</v>
          </cell>
        </row>
        <row r="108">
          <cell r="A108">
            <v>53</v>
          </cell>
          <cell r="B108" t="str">
            <v>Автомобиль ЗИЛ 5301АО</v>
          </cell>
          <cell r="C108">
            <v>2001</v>
          </cell>
          <cell r="D108">
            <v>117148.4</v>
          </cell>
        </row>
        <row r="109">
          <cell r="A109">
            <v>58</v>
          </cell>
          <cell r="B109" t="str">
            <v>Автомобиль Тойота RAV-4</v>
          </cell>
          <cell r="C109">
            <v>2001</v>
          </cell>
          <cell r="D109">
            <v>900199.38</v>
          </cell>
        </row>
        <row r="111">
          <cell r="A111" t="str">
            <v>№</v>
          </cell>
          <cell r="B111" t="str">
            <v>Вид транспортного средства</v>
          </cell>
          <cell r="C111" t="str">
            <v>Вид зависимости W</v>
          </cell>
        </row>
        <row r="112">
          <cell r="A112" t="str">
            <v>п/п</v>
          </cell>
        </row>
        <row r="113">
          <cell r="A113">
            <v>1</v>
          </cell>
          <cell r="B113" t="str">
            <v>Легковые автомобили производства Японии</v>
          </cell>
          <cell r="C113" t="str">
            <v>W = 0,045×Тф + 0,002×Lф</v>
          </cell>
        </row>
        <row r="114">
          <cell r="A114">
            <v>2</v>
          </cell>
          <cell r="B114" t="str">
            <v>Грузовые бортовые автомобили отечественные</v>
          </cell>
          <cell r="C114" t="str">
            <v>W = 0,1×Тф + 0,003×Lф</v>
          </cell>
        </row>
        <row r="116">
          <cell r="A116" t="str">
            <v>Тф – фактический возраст транспортного средства, лет;</v>
          </cell>
        </row>
        <row r="117">
          <cell r="A117" t="str">
            <v xml:space="preserve"> Lф – фактический пробег транспортного средства с начала эксплуатации на  дату определения стоимости, тыс. км.</v>
          </cell>
        </row>
        <row r="120">
          <cell r="B120" t="str">
            <v>Иф = 100 × (1 – е-W), где:</v>
          </cell>
        </row>
        <row r="121">
          <cell r="B121" t="str">
            <v xml:space="preserve"> е – основание натурального логарифма, е @ 2,72;</v>
          </cell>
        </row>
        <row r="122">
          <cell r="B122" t="str">
            <v xml:space="preserve"> W - функция, зависящая от возраста и фактического пробега транспортного средства с начала эксплуатации.</v>
          </cell>
        </row>
      </sheetData>
      <sheetData sheetId="2" refreshError="1"/>
      <sheetData sheetId="3"/>
      <sheetData sheetId="4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ед"/>
      <sheetName val="Баланс "/>
      <sheetName val="Графики"/>
      <sheetName val="структура"/>
      <sheetName val="недв"/>
      <sheetName val="Оценка основных средств"/>
      <sheetName val="накопл активов"/>
      <sheetName val="МДДП"/>
      <sheetName val="Дебиторы"/>
      <sheetName val="Сведение"/>
      <sheetName val="общие сведения"/>
      <sheetName val="Лист3"/>
      <sheetName val="ликвид скидка"/>
      <sheetName val="сводка"/>
      <sheetName val="внешний износ"/>
      <sheetName val="функцмональный износ"/>
      <sheetName val="Лист1"/>
      <sheetName val="физический износ"/>
      <sheetName val="диагр износа"/>
      <sheetName val="Assum."/>
      <sheetName val="восст"/>
      <sheetName val="Sheet2"/>
      <sheetName val="Параметры"/>
      <sheetName val="проч ОС"/>
      <sheetName val="Служебный"/>
      <sheetName val="ЛитБ"/>
      <sheetName val="Исходные"/>
      <sheetName val="Опции"/>
      <sheetName val="Проект"/>
      <sheetName val="Компания"/>
      <sheetName val="Анализ"/>
      <sheetName val="Сумм"/>
      <sheetName val="общее"/>
      <sheetName val="исходник"/>
      <sheetName val="износ"/>
      <sheetName val="исход-итог"/>
      <sheetName val="Метод остатка"/>
      <sheetName val="Осн_данные"/>
      <sheetName val="Спис_Объекты_недв"/>
      <sheetName val="общий"/>
      <sheetName val="затр_подх"/>
      <sheetName val="Потоки"/>
      <sheetName val="ИТОГО"/>
      <sheetName val="АРЕНДА лот 5"/>
      <sheetName val="данные"/>
      <sheetName val="ликвидность"/>
      <sheetName val="ar"/>
      <sheetName val="выр"/>
      <sheetName val="Comp1"/>
      <sheetName val="аренда торговля"/>
      <sheetName val="константы"/>
      <sheetName val="comps"/>
      <sheetName val="база"/>
      <sheetName val="T1"/>
      <sheetName val=" General Assumptions"/>
      <sheetName val="FA_300904"/>
      <sheetName val=" Assumptions"/>
      <sheetName val="Итоги"/>
      <sheetName val="ЗемляРасчёт"/>
      <sheetName val="Баланс_"/>
      <sheetName val="Оценка_основных_средств"/>
      <sheetName val="накопл_активов"/>
      <sheetName val="общие_сведения"/>
      <sheetName val="ликвид_скидка"/>
      <sheetName val="внешний_износ"/>
      <sheetName val="функцмональный_износ"/>
      <sheetName val="физический_износ"/>
      <sheetName val="диагр_износа"/>
      <sheetName val="проч_ОС"/>
      <sheetName val="Метод_остатка"/>
      <sheetName val="аренда_торговля"/>
      <sheetName val="АРЕНДА_лот_5"/>
      <sheetName val="Assum_"/>
      <sheetName val="Содержание"/>
      <sheetName val="НФИк"/>
      <sheetName val="Menu"/>
      <sheetName val="Запрос"/>
      <sheetName val="СМЕТА"/>
      <sheetName val="card_01"/>
      <sheetName val="key"/>
      <sheetName val="Вводные данные"/>
    </sheetNames>
    <sheetDataSet>
      <sheetData sheetId="0" refreshError="1">
        <row r="6">
          <cell r="B6">
            <v>28.6</v>
          </cell>
        </row>
        <row r="14">
          <cell r="B14">
            <v>0.3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6">
          <cell r="B6">
            <v>28.6</v>
          </cell>
        </row>
        <row r="14">
          <cell r="B14">
            <v>0.3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>
        <row r="6">
          <cell r="B6">
            <v>28.6</v>
          </cell>
        </row>
      </sheetData>
      <sheetData sheetId="60"/>
      <sheetData sheetId="61">
        <row r="6">
          <cell r="B6">
            <v>28.6</v>
          </cell>
        </row>
      </sheetData>
      <sheetData sheetId="62">
        <row r="6">
          <cell r="B6">
            <v>28.6</v>
          </cell>
        </row>
      </sheetData>
      <sheetData sheetId="63">
        <row r="6">
          <cell r="B6">
            <v>28.6</v>
          </cell>
        </row>
      </sheetData>
      <sheetData sheetId="64">
        <row r="6">
          <cell r="B6">
            <v>28.6</v>
          </cell>
        </row>
      </sheetData>
      <sheetData sheetId="65">
        <row r="6">
          <cell r="B6">
            <v>28.6</v>
          </cell>
        </row>
      </sheetData>
      <sheetData sheetId="66">
        <row r="6">
          <cell r="B6">
            <v>28.6</v>
          </cell>
        </row>
      </sheetData>
      <sheetData sheetId="67"/>
      <sheetData sheetId="68">
        <row r="6">
          <cell r="B6">
            <v>28.6</v>
          </cell>
        </row>
      </sheetData>
      <sheetData sheetId="69">
        <row r="6">
          <cell r="B6">
            <v>28.6</v>
          </cell>
        </row>
      </sheetData>
      <sheetData sheetId="70"/>
      <sheetData sheetId="71"/>
      <sheetData sheetId="72"/>
      <sheetData sheetId="73" refreshError="1"/>
      <sheetData sheetId="74" refreshError="1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orma"/>
      <sheetName val="Assumptions"/>
      <sheetName val="Summary"/>
      <sheetName val="CF"/>
      <sheetName val="HC_ppt"/>
      <sheetName val="CSCCincSKR"/>
      <sheetName val="PFC-PYX1"/>
      <sheetName val="#ССЫЛКА"/>
      <sheetName val="17.Налог"/>
      <sheetName val="Main"/>
      <sheetName val="Списки"/>
      <sheetName val="current_balance"/>
      <sheetName val="Definitions"/>
      <sheetName val="REPORT"/>
      <sheetName val="SENSITIVITY"/>
      <sheetName val="Лист1"/>
      <sheetName val="фа"/>
      <sheetName val="фаOIBDA"/>
      <sheetName val="данные для графика"/>
      <sheetName val="Шаблоны"/>
      <sheetName val="Удм-3"/>
      <sheetName val="Удм-1"/>
      <sheetName val="Удм-2"/>
      <sheetName val="Ф-2 ЮССС"/>
      <sheetName val="Ф-1 ЮССС"/>
      <sheetName val="Ф.2"/>
      <sheetName val="Актив"/>
      <sheetName val="Бюджет"/>
      <sheetName val="PNL"/>
      <sheetName val="Структура расходов"/>
      <sheetName val="ф.29мес."/>
      <sheetName val="InpC"/>
      <sheetName val="Gen"/>
      <sheetName val="&lt;&lt;&lt;EXHIBITS&gt;&gt;&gt;"/>
      <sheetName val="CREDIT STATS"/>
      <sheetName val="Список"/>
      <sheetName val="RSOILBAL"/>
      <sheetName val="Lib"/>
      <sheetName val="Service"/>
      <sheetName val="Лист2"/>
      <sheetName val="Статьи затрат и ЦФО"/>
      <sheetName val="Расчет VAS (руб.)"/>
      <sheetName val="Справочник"/>
      <sheetName val="БК"/>
      <sheetName val="макропараметры"/>
      <sheetName val="Mapping"/>
      <sheetName val="INPUT EXPENSES"/>
      <sheetName val="Assum"/>
      <sheetName val="Таблица"/>
      <sheetName val="Настройка"/>
      <sheetName val="Lists"/>
      <sheetName val="реестр_платежей"/>
      <sheetName val="Доходы_revenue + затраты"/>
      <sheetName val="ДДС"/>
      <sheetName val="ДЗО"/>
      <sheetName val="Лист3"/>
      <sheetName val="Нормативы_К"/>
      <sheetName val="01"/>
      <sheetName val="Investments"/>
      <sheetName val="Классиф_1С"/>
      <sheetName val="Статьи БДДС"/>
      <sheetName val="Справочник статей"/>
      <sheetName val="Контрагент"/>
      <sheetName val="Щукино"/>
      <sheetName val="ДИН2014"/>
      <sheetName val="Лист4"/>
      <sheetName val="Справочники"/>
      <sheetName val="Методология"/>
      <sheetName val="Подразделения"/>
      <sheetName val="Графики"/>
      <sheetName val="Коды"/>
      <sheetName val="Контрагенты"/>
      <sheetName val="Статьи ДДС 2017"/>
      <sheetName val="Brif_zdanie"/>
      <sheetName val="List"/>
      <sheetName val="Dropdown list"/>
      <sheetName val="вид"/>
      <sheetName val="Прайс Лист"/>
      <sheetName val="проект - отдел"/>
      <sheetName val="инфо"/>
      <sheetName val="Лист6"/>
      <sheetName val="Списки_и_цели"/>
      <sheetName val="Описание_полей_и_показателей"/>
      <sheetName val="ИЗ-2016"/>
      <sheetName val="Списки_и_цели_МТС_РФ"/>
      <sheetName val="станция_Обьект"/>
      <sheetName val="Справочник ЦФО"/>
      <sheetName val="Факторы"/>
      <sheetName val="Номенклатура"/>
      <sheetName val="help"/>
      <sheetName val="ИСХОДНИК"/>
      <sheetName val="Armix"/>
      <sheetName val="Central Market"/>
      <sheetName val="Dinvest"/>
      <sheetName val="Directway"/>
      <sheetName val="Dream"/>
      <sheetName val="ITS"/>
      <sheetName val="Jevosset"/>
      <sheetName val="Opal"/>
      <sheetName val="Ostozhie"/>
      <sheetName val="Otrada Ug"/>
      <sheetName val="ProfitInvest"/>
      <sheetName val="Project Bureau"/>
      <sheetName val="TCM"/>
      <sheetName val="Titan"/>
      <sheetName val="Armix ISR"/>
      <sheetName val="Elorietta"/>
      <sheetName val="Lemoriano"/>
      <sheetName val="Ling"/>
      <sheetName val="Parnita"/>
      <sheetName val="Raftia"/>
      <sheetName val="RGI Commercial"/>
      <sheetName val="RGI Residential"/>
      <sheetName val="Sucreti"/>
      <sheetName val="Toucho"/>
      <sheetName val="Tootie"/>
      <sheetName val="Tsvetnoy DS"/>
      <sheetName val="Yialoka"/>
      <sheetName val="RGI"/>
      <sheetName val="Cправочник"/>
      <sheetName val="DIR"/>
      <sheetName val="I_ЗДМ_Процессы_операции"/>
      <sheetName val="CAPEX"/>
      <sheetName val="CARDS"/>
      <sheetName val="CONTRIBUTION"/>
      <sheetName val="DELTA"/>
      <sheetName val="FIXED ASSETS"/>
      <sheetName val="SALARIES"/>
      <sheetName val="SETTL - RBL"/>
      <sheetName val="SETTL - USD"/>
      <sheetName val="SPARES - BOOTHS"/>
      <sheetName val="SPARES - PAYPHONES"/>
      <sheetName val="STAFF"/>
      <sheetName val="VAT"/>
      <sheetName val="организации"/>
      <sheetName val="база"/>
      <sheetName val="Titles"/>
      <sheetName val="Filters"/>
      <sheetName val="Dashboard"/>
      <sheetName val="Tech"/>
      <sheetName val="Source"/>
      <sheetName val="Serv"/>
      <sheetName val="Проекты"/>
      <sheetName val="DIN"/>
      <sheetName val="статьи"/>
      <sheetName val="Контрагент_1"/>
      <sheetName val="Sheet2"/>
      <sheetName val="Квартал"/>
      <sheetName val="Свод"/>
      <sheetName val="DLL"/>
      <sheetName val="Qtrly CF"/>
      <sheetName val="MAYO98"/>
      <sheetName val="Qtrly_CF"/>
      <sheetName val="Tenancy"/>
      <sheetName val="Control"/>
      <sheetName val="Log"/>
      <sheetName val="RR"/>
      <sheetName val="LViewer"/>
      <sheetName val="Input--&gt;"/>
      <sheetName val="Calculations"/>
      <sheetName val="Overview"/>
      <sheetName val="GENEX.OPEX"/>
      <sheetName val="Capex_no longer use"/>
      <sheetName val="CAPEX BP file"/>
      <sheetName val="NRI Impact"/>
      <sheetName val="Actuals"/>
      <sheetName val="Output--&gt;"/>
      <sheetName val="CF BX"/>
      <sheetName val="Tax"/>
      <sheetName val="CF 12M"/>
      <sheetName val="S&amp;U"/>
      <sheetName val="CF IP &amp; Sens"/>
      <sheetName val="ERV Check"/>
      <sheetName val="ЦФО_New"/>
      <sheetName val="Спр"/>
      <sheetName val="перечень статей затрат PNL"/>
      <sheetName val="ЦФО"/>
      <sheetName val="Справочник БКВ"/>
      <sheetName val="Системный"/>
      <sheetName val="Сотрудники"/>
      <sheetName val="Codes"/>
      <sheetName val="ТехСписки"/>
      <sheetName val="Список спец. критериев"/>
      <sheetName val="Код"/>
      <sheetName val="Филии"/>
      <sheetName val="МР"/>
      <sheetName val="Дата"/>
      <sheetName val="АТСи"/>
      <sheetName val="Специфікація"/>
      <sheetName val="4.Справочник счетов затрат"/>
      <sheetName val="МВЗ имполнитель"/>
      <sheetName val="5.Справочник МВЗ"/>
      <sheetName val="Справочник фин.позиций"/>
      <sheetName val="Справочно"/>
      <sheetName val="Справочник БДР"/>
      <sheetName val="Справочник ДДС"/>
      <sheetName val="Справочник код ИП"/>
      <sheetName val="мэппинг PL_CF"/>
      <sheetName val="цфо_МВЗ"/>
      <sheetName val="Расчёт"/>
      <sheetName val="Справочник-new_2"/>
      <sheetName val="CAMPAIGN AVERAGE F"/>
      <sheetName val="справочник магазинов"/>
      <sheetName val="шаблон"/>
      <sheetName val="Share"/>
      <sheetName val="статьи БДР"/>
      <sheetName val="Ф_2"/>
      <sheetName val="данные_для_графика"/>
      <sheetName val="Структура_расходов"/>
      <sheetName val="ф_29мес_"/>
      <sheetName val="CREDIT_STATS"/>
      <sheetName val="Ф_21"/>
      <sheetName val="данные_для_графика1"/>
      <sheetName val="Структура_расходов1"/>
      <sheetName val="ф_29мес_1"/>
      <sheetName val="CREDIT_STATS1"/>
      <sheetName val=" + ОСВ 43"/>
      <sheetName val="Arbitrage"/>
      <sheetName val="Свод_нормализаций"/>
      <sheetName val=" _Список"/>
      <sheetName val="допы"/>
      <sheetName val="Список Должностей"/>
      <sheetName val="Список Исполнителей"/>
      <sheetName val="РПУ"/>
      <sheetName val="Категории"/>
      <sheetName val="Производственная функция"/>
      <sheetName val="справочник мвз"/>
      <sheetName val="List of CH"/>
      <sheetName val="ИНДЕКСЫ"/>
      <sheetName val="Расчет_VAS_(руб_)"/>
      <sheetName val="17_Налог"/>
      <sheetName val="Статьи_затрат_и_ЦФО"/>
      <sheetName val="Ф-2_ЮССС"/>
      <sheetName val="Ф-1_ЮССС"/>
      <sheetName val="INPUT_EXPENSES"/>
      <sheetName val="Статьи_БДДС"/>
      <sheetName val="Справочник_статей"/>
      <sheetName val="Прайс_Лист"/>
      <sheetName val="Dropdown_list"/>
      <sheetName val="проект_-_отдел"/>
      <sheetName val="ВГО"/>
      <sheetName val="КФ"/>
      <sheetName val="Таксономия"/>
      <sheetName val="Revenue_comp"/>
      <sheetName val="Стать БУ"/>
      <sheetName val="счета  БУ"/>
      <sheetName val="Справочник статей БУ "/>
      <sheetName val="MPP"/>
      <sheetName val="ГК Элемент (ВГО)"/>
      <sheetName val="Курс валют на___"/>
      <sheetName val="ТехДанные"/>
      <sheetName val="ppt"/>
      <sheetName val="BS PR"/>
      <sheetName val="Лимиты"/>
      <sheetName val="Библиотека"/>
      <sheetName val="Питер"/>
      <sheetName val="Презентация"/>
      <sheetName val="Прочие ДиР"/>
      <sheetName val="К-ДДС"/>
      <sheetName val="PL_Base"/>
      <sheetName val="1C_Base"/>
      <sheetName val="BS ГК МТ"/>
      <sheetName val="PL ГК МТ"/>
      <sheetName val="CF_Base"/>
      <sheetName val="Loans"/>
      <sheetName val="IFRS corr"/>
      <sheetName val="Свод &quot;К&quot;"/>
      <sheetName val="параметры"/>
      <sheetName val="Feuil2"/>
      <sheetName val="Bridge_2009-2011_Corporate"/>
      <sheetName val="Langues"/>
      <sheetName val="2_1_1_-_Assumptions"/>
      <sheetName val="Retrofit1"/>
      <sheetName val="Blad1"/>
      <sheetName val="Bf3p1"/>
      <sheetName val="DTF_drop down list"/>
      <sheetName val="Sheet1"/>
      <sheetName val="Resumen"/>
      <sheetName val="ИС"/>
      <sheetName val="Статьи ПГСО"/>
      <sheetName val="9 стрим"/>
      <sheetName val="Филиалы"/>
      <sheetName val="Перечень ИТ-систем"/>
      <sheetName val="Список БП"/>
      <sheetName val="Data pour menu déroulant"/>
      <sheetName val="Тех. лист"/>
      <sheetName val="БC"/>
      <sheetName val="Рук-ство по зап-ю"/>
      <sheetName val="KEY"/>
      <sheetName val="МСФО_счета"/>
      <sheetName val="1999"/>
      <sheetName val="sample"/>
      <sheetName val="CAPEX new"/>
      <sheetName val="Library"/>
      <sheetName val="Accounts DATA"/>
      <sheetName val="5.Справочники"/>
      <sheetName val="Список_действ_клиент_договор"/>
      <sheetName val="Программа "/>
      <sheetName val="5630.02+"/>
      <sheetName val="adj_10_1Q"/>
      <sheetName val="adj_2010"/>
      <sheetName val="adj_09"/>
      <sheetName val="ОСВ'10"/>
      <sheetName val="311210"/>
      <sheetName val="310310"/>
      <sheetName val="Нормативы"/>
      <sheetName val="Fixed_charges"/>
      <sheetName val="Below_EBITDA"/>
      <sheetName val="Payroll"/>
      <sheetName val="cost"/>
      <sheetName val="заполнение таблицы"/>
      <sheetName val="partn"/>
      <sheetName val="Справочник(тех)"/>
      <sheetName val="Лист"/>
      <sheetName val="СписокКомпаний"/>
      <sheetName val="Sheet3"/>
      <sheetName val="DB"/>
      <sheetName val="TDSheet"/>
      <sheetName val="НС_3"/>
      <sheetName val="Товарооборот 2021"/>
      <sheetName val="Справочник люди"/>
      <sheetName val="свод_БП"/>
      <sheetName val="Инструкция"/>
      <sheetName val="орг.структура"/>
      <sheetName val="ГПХ_цфо 999"/>
      <sheetName val="МРФ"/>
      <sheetName val="УПЦ"/>
      <sheetName val="ОЦО"/>
      <sheetName val="Бурятия"/>
      <sheetName val="Алтай"/>
      <sheetName val="Красноярск"/>
      <sheetName val="Иркутск"/>
      <sheetName val="Кемерово"/>
      <sheetName val="Новосибирск"/>
      <sheetName val="Омск"/>
      <sheetName val="Томск"/>
      <sheetName val="Модели_ЦСП_обор"/>
      <sheetName val="ТПС"/>
      <sheetName val="3P_FA"/>
      <sheetName val="5. СПРАВОЧНИКИ"/>
      <sheetName val="Const"/>
      <sheetName val="КА"/>
      <sheetName val="справ"/>
      <sheetName val="Лист5"/>
      <sheetName val="Degiskenler"/>
      <sheetName val="Finansal tamamlanma Eğrisi"/>
      <sheetName val="Список CapEx"/>
      <sheetName val="Список лотов"/>
      <sheetName val="Списки (доходы)"/>
      <sheetName val="Список (CapEx)"/>
      <sheetName val="Список для СapEx"/>
      <sheetName val="Довідник"/>
      <sheetName val="2.INP-Timeline"/>
      <sheetName val="Пусто"/>
      <sheetName val="acc"/>
      <sheetName val="Control_ЦБО"/>
      <sheetName val="Фильтры"/>
      <sheetName val="Ставки"/>
      <sheetName val="Results"/>
      <sheetName val="Charts"/>
      <sheetName val="Существенность"/>
      <sheetName val="Products annual"/>
      <sheetName val="Статьи_МКМ"/>
      <sheetName val="КСВ_График слайд 11"/>
      <sheetName val="ФОТ штат_22"/>
      <sheetName val="Численность_по активам"/>
      <sheetName val="ФЛ_2019"/>
      <sheetName val="мсфо"/>
      <sheetName val="Статьи ПК"/>
      <sheetName val="Central_Market"/>
      <sheetName val="Otrada_Ug"/>
      <sheetName val="Project_Bureau"/>
      <sheetName val="Armix_ISR"/>
      <sheetName val="RGI_Commercial"/>
      <sheetName val="RGI_Residential"/>
      <sheetName val="Tsvetnoy_DS"/>
      <sheetName val="данные_для_графика2"/>
      <sheetName val="Ф_22"/>
      <sheetName val="Структура_расходов2"/>
      <sheetName val="ф_29мес_2"/>
      <sheetName val="CREDIT_STATS2"/>
      <sheetName val="перечень_статей_затрат_PNL"/>
      <sheetName val="Справочник_БКВ"/>
      <sheetName val="Доходы_revenue_+_затраты"/>
      <sheetName val="CAMPAIGN_AVERAGE_F"/>
      <sheetName val="статьи_БДР"/>
      <sheetName val="справочник_магазинов"/>
      <sheetName val="4_Справочник_счетов_затрат"/>
      <sheetName val="МВЗ_имполнитель"/>
      <sheetName val="5_Справочник_МВЗ"/>
      <sheetName val="Справочник_фин_позиций"/>
      <sheetName val="Справочник_БДР"/>
      <sheetName val="Статьи_ДДС_2017"/>
      <sheetName val="FIXED_ASSETS"/>
      <sheetName val="SETTL_-_RBL"/>
      <sheetName val="SETTL_-_USD"/>
      <sheetName val="SPARES_-_BOOTHS"/>
      <sheetName val="SPARES_-_PAYPHONES"/>
      <sheetName val="Справочник_ЦФО"/>
      <sheetName val="__Список"/>
      <sheetName val="Список_Должностей"/>
      <sheetName val="Список_Исполнителей"/>
      <sheetName val="support"/>
      <sheetName val="LOADDAT"/>
      <sheetName val="ESCON"/>
      <sheetName val="контроль аналитик"/>
      <sheetName val="RFElecMod"/>
      <sheetName val="tech. list"/>
      <sheetName val="Прил. 3"/>
      <sheetName val="парам"/>
      <sheetName val="контрагент новый"/>
      <sheetName val="Debt"/>
      <sheetName val="Магазины"/>
      <sheetName val="Справочник клиентов"/>
      <sheetName val="Справочник видов ГП"/>
      <sheetName val="Техн лист"/>
      <sheetName val="Справочник марок ППУ"/>
      <sheetName val="B03"/>
      <sheetName val="FitOutConfCentre"/>
      <sheetName val=" N Finansal Eğri"/>
      <sheetName val="Доходы"/>
      <sheetName val="проверка данных"/>
      <sheetName val="Справочик техника"/>
      <sheetName val=""/>
      <sheetName val="Покупатели"/>
      <sheetName val="Conf"/>
      <sheetName val="вспомогательные таблицы"/>
      <sheetName val="спр_типы данных"/>
      <sheetName val="спр_валюты"/>
      <sheetName val="Круг 6 листов "/>
      <sheetName val="Массив_Р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Таблица"/>
      <sheetName val="Словари"/>
      <sheetName val="Лист3"/>
    </sheetNames>
    <sheetDataSet>
      <sheetData sheetId="0"/>
      <sheetData sheetId="1"/>
      <sheetData sheetId="2">
        <row r="4">
          <cell r="B4" t="str">
            <v>Дом</v>
          </cell>
        </row>
        <row r="5">
          <cell r="B5" t="str">
            <v>Здание</v>
          </cell>
        </row>
        <row r="6">
          <cell r="B6" t="str">
            <v>Земельный участок</v>
          </cell>
        </row>
        <row r="7">
          <cell r="B7" t="str">
            <v>Квартира</v>
          </cell>
        </row>
        <row r="8">
          <cell r="B8" t="str">
            <v>Комната</v>
          </cell>
        </row>
        <row r="9">
          <cell r="B9" t="str">
            <v>Незавершенное строительство</v>
          </cell>
        </row>
        <row r="10">
          <cell r="B10" t="str">
            <v>Обособленный водный объект</v>
          </cell>
        </row>
        <row r="11">
          <cell r="B11" t="str">
            <v>Помещения нежилые</v>
          </cell>
        </row>
        <row r="12">
          <cell r="B12" t="str">
            <v>Сооружение линейное</v>
          </cell>
        </row>
        <row r="13">
          <cell r="B13" t="str">
            <v>Сооружение площадное</v>
          </cell>
        </row>
        <row r="14">
          <cell r="B14" t="str">
            <v>Строение</v>
          </cell>
        </row>
        <row r="15">
          <cell r="B15" t="str">
            <v>Строящийся объект</v>
          </cell>
        </row>
        <row r="16">
          <cell r="B16" t="str">
            <v>Часть земельного участка</v>
          </cell>
        </row>
      </sheetData>
      <sheetData sheetId="3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сведения"/>
      <sheetName val="Сведение"/>
      <sheetName val="дисконт"/>
      <sheetName val="восст"/>
      <sheetName val="прибыль предп"/>
      <sheetName val="ремонты"/>
      <sheetName val="неустр из дж"/>
      <sheetName val="фуниз"/>
      <sheetName val="ннэи"/>
      <sheetName val="ДП земля"/>
      <sheetName val="НИ земля"/>
      <sheetName val="Затр подх"/>
      <sheetName val="ДП пессимест (2)"/>
      <sheetName val="НИ 1 (2)"/>
      <sheetName val="ДП пессимест"/>
      <sheetName val="НИ 1"/>
      <sheetName val="аналоги"/>
      <sheetName val="арендная ставка"/>
      <sheetName val="свед"/>
      <sheetName val="General"/>
      <sheetName val="Assum."/>
      <sheetName val="Sheet2"/>
      <sheetName val="Исходные"/>
      <sheetName val="исход-итог"/>
      <sheetName val="ЛитБ"/>
      <sheetName val="Служебный"/>
      <sheetName val="Параметры"/>
      <sheetName val="Метод остатка"/>
      <sheetName val="график01.09.02"/>
      <sheetName val="ТЭП гостиница"/>
      <sheetName val="Спис_Объекты_недв"/>
      <sheetName val="общее"/>
      <sheetName val="Ставка Д"/>
      <sheetName val="const"/>
      <sheetName val="1.ИСХ"/>
      <sheetName val="документы Кириши"/>
      <sheetName val="общие данные"/>
      <sheetName val="Use"/>
      <sheetName val="исход_итог"/>
      <sheetName val="Титул"/>
      <sheetName val="Списки"/>
      <sheetName val="Лист1"/>
      <sheetName val="Ку"/>
      <sheetName val="Зоны Москвы"/>
      <sheetName val="нормы"/>
      <sheetName val="НФИк"/>
      <sheetName val="Изменения"/>
      <sheetName val="1.14"/>
      <sheetName val="1.10"/>
      <sheetName val="Баз предп"/>
      <sheetName val="ликвидность"/>
      <sheetName val="поток"/>
      <sheetName val="Дхд 639,3"/>
      <sheetName val="графики"/>
      <sheetName val="дебкред"/>
      <sheetName val="Исходные данные"/>
      <sheetName val="Средняя стоимость"/>
      <sheetName val="исход."/>
      <sheetName val="Кредит"/>
      <sheetName val="Инд"/>
      <sheetName val="затр_подх"/>
      <sheetName val="ЗУ ГУИОН!"/>
      <sheetName val="Док+Исх"/>
      <sheetName val="Содержание"/>
      <sheetName val="Смета"/>
      <sheetName val="Начало"/>
      <sheetName val="исх 1"/>
      <sheetName val="описание"/>
      <sheetName val="общий"/>
      <sheetName val="3.ЗАТРАТЫ"/>
      <sheetName val="Расчет_стоимости"/>
      <sheetName val="Осн_данн"/>
      <sheetName val="1"/>
      <sheetName val="Приложение &quot;ОС&quot;_оборуд"/>
      <sheetName val="итог тр"/>
      <sheetName val="выр"/>
      <sheetName val="Inputs"/>
      <sheetName val="Brif_zdanie"/>
      <sheetName val="Справочники"/>
      <sheetName val="константы"/>
      <sheetName val="инфо"/>
      <sheetName val="Земля"/>
      <sheetName val="Литер М"/>
      <sheetName val=" Assumptions"/>
      <sheetName val="ПВД"/>
      <sheetName val=" General Assumptions"/>
      <sheetName val="общие_сведения"/>
      <sheetName val="прибыль_предп"/>
      <sheetName val="неустр_из_дж"/>
      <sheetName val="ДП_земля"/>
      <sheetName val="НИ_земля"/>
      <sheetName val="ДП_пессимест_(2)"/>
      <sheetName val="НИ_1_(2)"/>
      <sheetName val="ДП_пессимест"/>
      <sheetName val="НИ_1"/>
      <sheetName val="арендная_ставка"/>
      <sheetName val="Общая"/>
      <sheetName val="T1"/>
      <sheetName val="затраты"/>
      <sheetName val="контакт с доп согл"/>
      <sheetName val="Справочник"/>
      <sheetName val="проч ОС"/>
      <sheetName val="Итоги"/>
      <sheetName val="ЗемляРасчёт"/>
      <sheetName val="Легенда"/>
      <sheetName val="Лист2"/>
      <sheetName val="график строительства"/>
      <sheetName val="исходник"/>
      <sheetName val="перечень с результатом"/>
      <sheetName val="износ"/>
      <sheetName val="себ"/>
      <sheetName val="ф2"/>
      <sheetName val="ф1"/>
      <sheetName val="ФХД"/>
      <sheetName val="actives"/>
      <sheetName val="АС_Офис"/>
      <sheetName val="рын_ст_зелен3"/>
      <sheetName val="ЗП"/>
      <sheetName val="Заголовок"/>
      <sheetName val="Аналоги аренда"/>
      <sheetName val="2002(v2)"/>
      <sheetName val="жд "/>
      <sheetName val="ar"/>
      <sheetName val="Предприятие"/>
      <sheetName val="ЗУ 1"/>
      <sheetName val="ЗУ Промка продажа"/>
      <sheetName val="Расчет тарифов и выручки"/>
      <sheetName val="Запрос"/>
      <sheetName val="общие_сведения1"/>
      <sheetName val="прибыль_предп1"/>
      <sheetName val="неустр_из_дж1"/>
      <sheetName val="ДП_земля1"/>
      <sheetName val="НИ_земля1"/>
      <sheetName val="ДП_пессимест_(2)1"/>
      <sheetName val="НИ_1_(2)1"/>
      <sheetName val="ДП_пессимест1"/>
      <sheetName val="НИ_11"/>
      <sheetName val="арендная_ставка1"/>
      <sheetName val="Метод_остатка"/>
      <sheetName val="Ставка_Д"/>
      <sheetName val="ТЭП_гостиница"/>
      <sheetName val="1_ИСХ"/>
      <sheetName val="документы_Кириши"/>
      <sheetName val="график01_09_02"/>
      <sheetName val="общие_данные"/>
      <sheetName val="Зоны_Москвы"/>
      <sheetName val="Исходные_данные"/>
      <sheetName val="Средняя_стоимость"/>
      <sheetName val="1_14"/>
      <sheetName val="1_10"/>
      <sheetName val="Баз_предп"/>
      <sheetName val="Дхд_639,3"/>
      <sheetName val="проч_ОС"/>
      <sheetName val="исход_"/>
      <sheetName val="Литер_М"/>
      <sheetName val="ЗУ_ГУИОН!"/>
      <sheetName val="исх_1"/>
      <sheetName val="3_ЗАТРАТЫ"/>
      <sheetName val="Приложение_&quot;ОС&quot;_оборуд"/>
      <sheetName val="итог_тр"/>
      <sheetName val="Assum_"/>
      <sheetName val="график_строительства"/>
      <sheetName val="перечень_с_результатом"/>
      <sheetName val="контакт_с_доп_согл"/>
      <sheetName val="_Assumptions"/>
      <sheetName val="_General_Assumptions"/>
      <sheetName val="Аналоги_аренда"/>
      <sheetName val="Дебиторка"/>
      <sheetName val="Balance"/>
      <sheetName val="05г."/>
      <sheetName val="рын_ст_зелен3.xls"/>
      <sheetName val="%D1%80%D1%8B%D0%BD_%D1%81%D1%82"/>
      <sheetName val="База"/>
      <sheetName val="КУРС"/>
      <sheetName val="dk"/>
      <sheetName val="ЗУ продажа"/>
      <sheetName val="ЗУ_Промка_продажа"/>
      <sheetName val="Расчет_тарифов_и_выручки"/>
      <sheetName val="наиболее вероятный"/>
      <sheetName val="11"/>
      <sheetName val="2"/>
      <sheetName val="3"/>
      <sheetName val="4"/>
      <sheetName val="5"/>
      <sheetName val="6"/>
      <sheetName val="10"/>
      <sheetName val="7"/>
      <sheetName val="8"/>
      <sheetName val="9"/>
      <sheetName val="данные"/>
      <sheetName val="разряд"/>
      <sheetName val="ар2"/>
      <sheetName val="F5_detail"/>
      <sheetName val="13 NGDO"/>
    </sheetNames>
    <sheetDataSet>
      <sheetData sheetId="0" refreshError="1">
        <row r="7">
          <cell r="B7">
            <v>27.82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ог"/>
      <sheetName val="мфтц,к.1"/>
      <sheetName val="2А,2Б"/>
      <sheetName val="мфтц,к.4"/>
      <sheetName val="каскад,5"/>
      <sheetName val="байкон"/>
      <sheetName val="Долгооз"/>
      <sheetName val="Кол,26"/>
      <sheetName val="Ланск"/>
      <sheetName val="Нов.Гр."/>
      <sheetName val="Энг-99"/>
      <sheetName val="Од,28"/>
      <sheetName val="т-3(ст)"/>
      <sheetName val="Лист2"/>
      <sheetName val="Лист1-ЛССМУ"/>
      <sheetName val="мфтц,к_1"/>
      <sheetName val="мфтц,к_4"/>
      <sheetName val="Нов_Гр_"/>
      <sheetName val="мфтц,к_11"/>
      <sheetName val="мфтц,к_41"/>
      <sheetName val="Нов_Гр_1"/>
      <sheetName val="мфтц,к_12"/>
      <sheetName val="мфтц,к_42"/>
      <sheetName val="Нов_Гр_2"/>
      <sheetName val="мфтц,к_13"/>
      <sheetName val="мфтц,к_43"/>
      <sheetName val="Нов_Гр_3"/>
      <sheetName val="sаскад,5"/>
      <sheetName val="sог"/>
      <sheetName val="sфтц,к.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15_В_дерев"/>
      <sheetName val="512_А_кирп"/>
      <sheetName val="демонт_всех"/>
      <sheetName val="исход-итог"/>
      <sheetName val="восст"/>
      <sheetName val="общие сведения"/>
      <sheetName val="свед"/>
      <sheetName val="Трансформация бу в уу(сентябрь)"/>
      <sheetName val="Исходные"/>
      <sheetName val="Balance Sheet"/>
      <sheetName val="Ставка Д"/>
      <sheetName val="Параметры"/>
      <sheetName val="Sheet2"/>
    </sheetNames>
    <sheetDataSet>
      <sheetData sheetId="0" refreshError="1"/>
      <sheetData sheetId="1" refreshError="1"/>
      <sheetData sheetId="2" refreshError="1"/>
      <sheetData sheetId="3">
        <row r="2">
          <cell r="C2">
            <v>28.39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етод остатка"/>
      <sheetName val="Вспом. расчеты"/>
      <sheetName val="Общий график"/>
      <sheetName val="Лист6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6"/>
      <sheetName val="Модуль1"/>
      <sheetName val="общее"/>
      <sheetName val="константы"/>
      <sheetName val="свед"/>
      <sheetName val="общие сведения"/>
      <sheetName val="ЛитБ"/>
      <sheetName val="Исходные"/>
      <sheetName val="рабочий"/>
      <sheetName val="ТЭП гостиница"/>
      <sheetName val="Лист1"/>
      <sheetName val="Ставка Д"/>
      <sheetName val="#ССЫЛКА"/>
      <sheetName val="2.Продажа квартир"/>
      <sheetName val="1.ИСХ "/>
      <sheetName val="Параметры"/>
      <sheetName val="исход-итог"/>
      <sheetName val="Док+Исх"/>
      <sheetName val="Glossary"/>
      <sheetName val="Содержание"/>
      <sheetName val="Спис_Объекты_недв"/>
      <sheetName val="Курсы"/>
      <sheetName val="ТЭП"/>
      <sheetName val="Master Inputs Start Here"/>
      <sheetName val="HBS initial"/>
      <sheetName val="Списки"/>
      <sheetName val="ИТОГО"/>
      <sheetName val="d"/>
      <sheetName val="общие данные"/>
      <sheetName val="Дхд 639,3"/>
      <sheetName val="Balance Sheet"/>
      <sheetName val="инфо"/>
      <sheetName val="Статист"/>
      <sheetName val="Начало"/>
      <sheetName val="График строительства"/>
      <sheetName val="СРЗУ"/>
      <sheetName val="Исходные данные"/>
      <sheetName val="Data"/>
      <sheetName val="Sheet2"/>
      <sheetName val="Служебный"/>
      <sheetName val="1.ИСХ"/>
      <sheetName val="документы Кириши"/>
      <sheetName val="Income Statement"/>
      <sheetName val="ЗУ Промка продажа"/>
      <sheetName val="общий"/>
      <sheetName val="восст"/>
      <sheetName val="цены цехов"/>
      <sheetName val="Tab3"/>
      <sheetName val="Группы"/>
      <sheetName val="НФИк"/>
      <sheetName val="1.14"/>
      <sheetName val="1.10"/>
      <sheetName val="Deprec"/>
      <sheetName val="Additions 2002"/>
      <sheetName val="Изменения"/>
      <sheetName val="проч ОС"/>
      <sheetName val="Ар2"/>
      <sheetName val="Легенда"/>
      <sheetName val="Ку"/>
      <sheetName val="Зоны Москвы"/>
      <sheetName val="Brif_zdanie"/>
      <sheetName val="Выписка_РФИ"/>
      <sheetName val="Имущество_элементы"/>
      <sheetName val="MGSN"/>
      <sheetName val="Read me first"/>
      <sheetName val="АС 1-Н"/>
      <sheetName val="Для шаблона"/>
      <sheetName val="Осн_данные"/>
      <sheetName val="затр_подх"/>
      <sheetName val="BS (RAS)"/>
      <sheetName val="Смета"/>
      <sheetName val="Запрос"/>
      <sheetName val="Расчет земли"/>
      <sheetName val="ОСЗ"/>
      <sheetName val="14.ДП"/>
      <sheetName val="6.Продажа квартир"/>
      <sheetName val="3.ЗАТРАТЫ"/>
      <sheetName val="1"/>
      <sheetName val="VFI"/>
      <sheetName val="LTRate"/>
      <sheetName val="Ки"/>
      <sheetName val="Regions"/>
      <sheetName val="Tab1"/>
      <sheetName val="Tab2-X"/>
      <sheetName val="Tab2-1"/>
      <sheetName val="CAD"/>
      <sheetName val="Инвест-пр1"/>
      <sheetName val="Инвест-пр4"/>
      <sheetName val="ДП"/>
      <sheetName val="Аренда Торговля"/>
      <sheetName val="Аренда СТО"/>
      <sheetName val="Дисконт"/>
      <sheetName val="Расчет"/>
      <sheetName val="General inputs"/>
      <sheetName val="Use"/>
      <sheetName val="Дебиторы"/>
      <sheetName val="Лист2"/>
      <sheetName val="Осн_данн"/>
      <sheetName val="КО-Инвест"/>
      <sheetName val="Инд"/>
      <sheetName val="ПП"/>
      <sheetName val="Rev"/>
      <sheetName val="DCF"/>
      <sheetName val="TOC"/>
      <sheetName val="ПВД"/>
      <sheetName val="исх 1"/>
      <sheetName val="Доходный подход аренда"/>
      <sheetName val=" Assumptions"/>
      <sheetName val="Ср.пр."/>
      <sheetName val="9.ДП"/>
      <sheetName val="Ставка дисконта"/>
      <sheetName val="Sheet1"/>
      <sheetName val="от закзчика"/>
      <sheetName val="СП_КОМПЛЕКС"/>
      <sheetName val="4.озеленение"/>
      <sheetName val="остаток через улучшения"/>
      <sheetName val="Титул"/>
      <sheetName val="Земля"/>
      <sheetName val="финплан стр.п."/>
      <sheetName val="Промка"/>
      <sheetName val="график01.09.02"/>
      <sheetName val="Резервы"/>
      <sheetName val="Доход"/>
      <sheetName val="Financials"/>
      <sheetName val="Огл. Графиков"/>
      <sheetName val="Текущие цены"/>
      <sheetName val="Трансформация бу в уу(сентябрь)"/>
      <sheetName val="Баз предп"/>
      <sheetName val="Doc_Name"/>
      <sheetName val="Const"/>
      <sheetName val="Литер М"/>
      <sheetName val="аналоги коттедж (2)"/>
      <sheetName val="МСП т"/>
      <sheetName val="Ликвид."/>
      <sheetName val="Гр5(о)"/>
      <sheetName val="инвестиции 2007"/>
      <sheetName val="КС"/>
      <sheetName val="g"/>
      <sheetName val="план"/>
      <sheetName val="Сквозной расчет"/>
      <sheetName val="1.10.96"/>
      <sheetName val="Коррект"/>
      <sheetName val="Forecast"/>
      <sheetName val="МФК2"/>
      <sheetName val="УЧАСТКИ"/>
      <sheetName val="ar"/>
      <sheetName val="ТЭП своб.уч."/>
      <sheetName val="Разб"/>
      <sheetName val="Земля дох"/>
      <sheetName val="ЗП"/>
      <sheetName val="Итог"/>
      <sheetName val="ликв"/>
      <sheetName val="перечень"/>
      <sheetName val="dk"/>
      <sheetName val="БУ на 30.06.2008"/>
      <sheetName val="ОО"/>
      <sheetName val="Капвложения"/>
      <sheetName val="Метод_остатка"/>
      <sheetName val="Вспом__расчеты"/>
      <sheetName val="Общий_график"/>
      <sheetName val="общие_сведения"/>
      <sheetName val="Ставка_Д"/>
      <sheetName val="2_Продажа_квартир"/>
      <sheetName val="ТЭП_гостиница"/>
      <sheetName val="1_ИСХ_"/>
      <sheetName val="Master_Inputs_Start_Here"/>
      <sheetName val="HBS_initial"/>
      <sheetName val="График_строительства"/>
      <sheetName val="общие_данные"/>
      <sheetName val="Дхд_639,3"/>
      <sheetName val="Balance_Sheet"/>
      <sheetName val="Исходные_данные"/>
      <sheetName val="ЗУ_Промка_продажа"/>
      <sheetName val="1_ИСХ"/>
      <sheetName val="документы_Кириши"/>
      <sheetName val="цены_цехов"/>
      <sheetName val="Income_Statement"/>
      <sheetName val="1_14"/>
      <sheetName val="1_10"/>
      <sheetName val="рын счи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/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одные"/>
      <sheetName val="ст-ть земли"/>
      <sheetName val="литА"/>
      <sheetName val="ЛитБ"/>
      <sheetName val="предпринимат"/>
      <sheetName val="Затр подх"/>
      <sheetName val="расчет ставки дисконта"/>
      <sheetName val="ДП пессимест"/>
      <sheetName val="НИ 1"/>
      <sheetName val="ДП обычный"/>
      <sheetName val="НИ 2"/>
      <sheetName val="ДП оптимист"/>
      <sheetName val="НИ 3 "/>
      <sheetName val="Сведение"/>
      <sheetName val="Свод"/>
      <sheetName val="Master Inputs Start here"/>
      <sheetName val="ст-ть_земли"/>
      <sheetName val="Затр_подх"/>
      <sheetName val="расчет_ставки_дисконта"/>
      <sheetName val="ДП_пессимест"/>
      <sheetName val="НИ_1"/>
      <sheetName val="ДП_обычный"/>
      <sheetName val="НИ_2"/>
      <sheetName val="ДП_оптимист"/>
      <sheetName val="НИ_3_"/>
      <sheetName val="Лист1"/>
      <sheetName val="Лист2"/>
      <sheetName val="Лист3"/>
      <sheetName val="Площади"/>
      <sheetName val="Ар пр"/>
      <sheetName val="ДП"/>
      <sheetName val="Параметры"/>
      <sheetName val="исход-итог"/>
      <sheetName val="Sheet2"/>
      <sheetName val="свед"/>
      <sheetName val="СПРБ - СТАРЫЙ"/>
      <sheetName val="исход_итог"/>
      <sheetName val="общие сведения"/>
      <sheetName val="Общая"/>
      <sheetName val="восст"/>
      <sheetName val="исх 1"/>
      <sheetName val="график01.09.02"/>
      <sheetName val="Служебный"/>
      <sheetName val="1"/>
      <sheetName val="Текст"/>
      <sheetName val="описание"/>
      <sheetName val="Исходные данные"/>
      <sheetName val="Средняя стоимость"/>
      <sheetName val="Таблица_Аренда"/>
      <sheetName val="общие данные"/>
      <sheetName val="Паспорт дома В-1 "/>
      <sheetName val="инфо"/>
      <sheetName val="разряд"/>
      <sheetName val="Метод остатка"/>
      <sheetName val="Откл. по фин. рез"/>
      <sheetName val="сводная"/>
      <sheetName val="X"/>
      <sheetName val="X1"/>
      <sheetName val="Прочие"/>
      <sheetName val="ст-ть_земли1"/>
      <sheetName val="расчет_ставки_дисконта1"/>
      <sheetName val="ДП_пессимест1"/>
      <sheetName val="НИ_11"/>
      <sheetName val="ДП_обычный1"/>
      <sheetName val="НИ_21"/>
      <sheetName val="ДП_оптимист1"/>
      <sheetName val="НИ_3_1"/>
      <sheetName val="Ар_пр"/>
      <sheetName val="СПРБ_-_СТАРЫЙ"/>
      <sheetName val="общие_сведения"/>
      <sheetName val="исх_1"/>
      <sheetName val="график01_09_02"/>
      <sheetName val="Исходные_данные"/>
      <sheetName val="Средняя_стоимость"/>
      <sheetName val="общие_данные"/>
      <sheetName val="Паспорт_дома_В-1_"/>
      <sheetName val="Метод_остатка"/>
      <sheetName val="Master_Inputs_Start_here"/>
      <sheetName val="dk"/>
      <sheetName val="2"/>
      <sheetName val="Cash Flow 12%"/>
      <sheetName val="Налоги"/>
      <sheetName val="Реестр"/>
      <sheetName val="Кредиты"/>
      <sheetName val="Комм пок аренда"/>
      <sheetName val="общее"/>
      <sheetName val="Согласование  и итог ОС"/>
      <sheetName val="Главная книга"/>
      <sheetName val="РМ"/>
      <sheetName val="Ка"/>
      <sheetName val="mtr_index"/>
      <sheetName val="ТЭП"/>
      <sheetName val="Графики"/>
    </sheetNames>
    <sheetDataSet>
      <sheetData sheetId="0" refreshError="1">
        <row r="12">
          <cell r="B12">
            <v>27.85</v>
          </cell>
        </row>
      </sheetData>
      <sheetData sheetId="1" refreshError="1"/>
      <sheetData sheetId="2" refreshError="1"/>
      <sheetData sheetId="3" refreshError="1"/>
      <sheetData sheetId="4">
        <row r="351">
          <cell r="G351">
            <v>27.85</v>
          </cell>
        </row>
      </sheetData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АКТ"/>
      <sheetName val="Статьи бюджета"/>
      <sheetName val="список"/>
      <sheetName val="Адреса объектов"/>
      <sheetName val="Плановые курсы валют"/>
    </sheetNames>
    <sheetDataSet>
      <sheetData sheetId="0">
        <row r="1">
          <cell r="I1" t="str">
            <v xml:space="preserve"> </v>
          </cell>
        </row>
      </sheetData>
      <sheetData sheetId="1"/>
      <sheetData sheetId="2"/>
      <sheetData sheetId="3"/>
      <sheetData sheetId="4">
        <row r="2">
          <cell r="B2">
            <v>62</v>
          </cell>
          <cell r="D2">
            <v>63</v>
          </cell>
        </row>
        <row r="3">
          <cell r="D3">
            <v>70</v>
          </cell>
        </row>
        <row r="4">
          <cell r="B4">
            <v>95</v>
          </cell>
        </row>
      </sheetData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писание"/>
      <sheetName val="продажа"/>
      <sheetName val="аренда"/>
      <sheetName val="УПСС"/>
      <sheetName val="SDC"/>
      <sheetName val="К"/>
      <sheetName val="Приб_ дев"/>
      <sheetName val="индекс"/>
      <sheetName val="ПВС"/>
      <sheetName val="Износ"/>
      <sheetName val="рын счит"/>
      <sheetName val="кор_ка"/>
      <sheetName val="расч_зем"/>
      <sheetName val="ан_земля"/>
      <sheetName val="земля"/>
      <sheetName val="восс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3">
          <cell r="B3" t="str">
            <v>Здание кузнечно-штамповочного цеха 3-2</v>
          </cell>
        </row>
      </sheetData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одные данные"/>
      <sheetName val="график платежей"/>
      <sheetName val="Поручительство"/>
      <sheetName val="Комм.предлож.ЗАО"/>
      <sheetName val="Комм.предлож.ООО"/>
      <sheetName val="списки"/>
      <sheetName val="трансп.налог"/>
      <sheetName val="расчёт"/>
    </sheetNames>
    <sheetDataSet>
      <sheetData sheetId="0">
        <row r="5">
          <cell r="D5">
            <v>490752.47684742976</v>
          </cell>
        </row>
        <row r="6">
          <cell r="D6">
            <v>37</v>
          </cell>
        </row>
        <row r="9">
          <cell r="D9">
            <v>5.0000000000000001E-3</v>
          </cell>
        </row>
        <row r="14">
          <cell r="I14">
            <v>310</v>
          </cell>
        </row>
        <row r="25">
          <cell r="I25">
            <v>0</v>
          </cell>
        </row>
      </sheetData>
      <sheetData sheetId="1"/>
      <sheetData sheetId="2"/>
      <sheetData sheetId="3"/>
      <sheetData sheetId="4"/>
      <sheetData sheetId="5">
        <row r="2">
          <cell r="E2">
            <v>3</v>
          </cell>
        </row>
        <row r="21">
          <cell r="E21">
            <v>2</v>
          </cell>
        </row>
        <row r="30">
          <cell r="E30">
            <v>2</v>
          </cell>
        </row>
        <row r="34">
          <cell r="E34">
            <v>2</v>
          </cell>
        </row>
        <row r="47">
          <cell r="E47">
            <v>1</v>
          </cell>
        </row>
      </sheetData>
      <sheetData sheetId="6"/>
      <sheetData sheetId="7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Баланс"/>
      <sheetName val="Ф2"/>
      <sheetName val="Ф3"/>
      <sheetName val="Ф4"/>
      <sheetName val="Ф5"/>
      <sheetName val="Ф6"/>
      <sheetName val="Чистые активы"/>
      <sheetName val="Инструкция"/>
    </sheetNames>
    <sheetDataSet>
      <sheetData sheetId="0">
        <row r="29">
          <cell r="E29" t="str">
            <v>руб.</v>
          </cell>
        </row>
        <row r="30">
          <cell r="E30" t="str">
            <v>тыс. руб.</v>
          </cell>
        </row>
        <row r="31">
          <cell r="E31" t="str">
            <v>млн. руб.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ктив Л1"/>
      <sheetName val="Актив 1 Л1"/>
      <sheetName val="Пассив Л1"/>
      <sheetName val="Пассив 1 Л1"/>
    </sheetNames>
    <sheetDataSet>
      <sheetData sheetId="0">
        <row r="5">
          <cell r="L5" t="str">
            <v>1 октября 2005</v>
          </cell>
        </row>
        <row r="8">
          <cell r="AM8" t="str">
            <v>47182669</v>
          </cell>
        </row>
        <row r="10">
          <cell r="J10">
            <v>0</v>
          </cell>
          <cell r="AM10" t="str">
            <v>66.01 66</v>
          </cell>
        </row>
        <row r="11">
          <cell r="AM11" t="str">
            <v>67</v>
          </cell>
          <cell r="AS11" t="str">
            <v>16</v>
          </cell>
        </row>
        <row r="12">
          <cell r="A12" t="str">
            <v>Закрытые акционерные общества</v>
          </cell>
          <cell r="T12" t="str">
            <v>Частная собственность</v>
          </cell>
        </row>
        <row r="25">
          <cell r="AG25" t="str">
            <v>–</v>
          </cell>
          <cell r="AP25" t="str">
            <v>–</v>
          </cell>
        </row>
        <row r="27">
          <cell r="AG27" t="str">
            <v>8863338</v>
          </cell>
        </row>
        <row r="28">
          <cell r="AG28" t="str">
            <v>–</v>
          </cell>
        </row>
        <row r="30">
          <cell r="AG30" t="str">
            <v>–</v>
          </cell>
        </row>
        <row r="31">
          <cell r="AG31" t="str">
            <v>8669451</v>
          </cell>
        </row>
        <row r="33">
          <cell r="AG33" t="str">
            <v>5476816</v>
          </cell>
        </row>
        <row r="35">
          <cell r="AG35" t="str">
            <v>–</v>
          </cell>
        </row>
        <row r="37">
          <cell r="AG37" t="str">
            <v>19387</v>
          </cell>
        </row>
        <row r="39">
          <cell r="AG39" t="str">
            <v>2158974</v>
          </cell>
        </row>
        <row r="40">
          <cell r="AG40" t="str">
            <v>1014274</v>
          </cell>
        </row>
        <row r="42">
          <cell r="AG42" t="str">
            <v>–</v>
          </cell>
        </row>
        <row r="44">
          <cell r="AG44" t="str">
            <v>193887</v>
          </cell>
        </row>
        <row r="45">
          <cell r="AG45" t="str">
            <v>–</v>
          </cell>
        </row>
        <row r="47">
          <cell r="AG47" t="str">
            <v>80017</v>
          </cell>
        </row>
        <row r="48">
          <cell r="AG48" t="str">
            <v>113870</v>
          </cell>
        </row>
        <row r="49">
          <cell r="A49" t="str">
            <v>–</v>
          </cell>
          <cell r="AG49" t="str">
            <v>–</v>
          </cell>
          <cell r="AP49" t="str">
            <v>–</v>
          </cell>
        </row>
      </sheetData>
      <sheetData sheetId="1"/>
      <sheetData sheetId="2"/>
      <sheetData sheetId="3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етод остатка"/>
      <sheetName val="MGSN"/>
      <sheetName val="Служебный"/>
      <sheetName val="Начало"/>
      <sheetName val="ОСЗ"/>
      <sheetName val="14.ДП"/>
      <sheetName val="1.ИСХ "/>
      <sheetName val="6.Продажа квартир"/>
      <sheetName val="3.ЗАТРАТЫ"/>
      <sheetName val="свед"/>
      <sheetName val="общие сведения"/>
      <sheetName val="общие данные"/>
      <sheetName val="график строительства"/>
      <sheetName val="VFI"/>
      <sheetName val="LTRate"/>
      <sheetName val="Ки"/>
      <sheetName val="Regions"/>
      <sheetName val="Tab1"/>
      <sheetName val="Tab2-X"/>
      <sheetName val="Tab2-1"/>
      <sheetName val="Tab3"/>
      <sheetName val="CAD"/>
      <sheetName val="Data"/>
      <sheetName val="Инвест-пр1"/>
      <sheetName val="Инвест-пр4"/>
      <sheetName val="ДП"/>
      <sheetName val="ТЭП"/>
      <sheetName val="Glossary"/>
      <sheetName val="1"/>
      <sheetName val="ЛитБ"/>
      <sheetName val="Параметры"/>
      <sheetName val="общее"/>
      <sheetName val="Аренда Торговля"/>
      <sheetName val="Аренда СТО"/>
      <sheetName val="Дисконт"/>
      <sheetName val="Содержание"/>
      <sheetName val="Расчет"/>
      <sheetName val="General inputs"/>
      <sheetName val="2.Продажа квартир"/>
      <sheetName val="Read me first"/>
      <sheetName val="Инд"/>
      <sheetName val="Дебиторы"/>
      <sheetName val="Use"/>
      <sheetName val="Лист2"/>
      <sheetName val="Осн_данн"/>
      <sheetName val="КО-Инвест"/>
      <sheetName val="Списки"/>
      <sheetName val="Лист1"/>
      <sheetName val="график01.09.02"/>
      <sheetName val="Sheet1"/>
      <sheetName val="Исходные"/>
      <sheetName val="Balance Sheet"/>
      <sheetName val="Income Statement"/>
      <sheetName val="СРЗУ"/>
      <sheetName val="Доход"/>
      <sheetName val="tmpB193"/>
      <sheetName val="Вспом. расчеты"/>
      <sheetName val="Общий график"/>
      <sheetName val="Лист6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6"/>
      <sheetName val="Модуль1"/>
      <sheetName val="константы"/>
      <sheetName val="Ставка Д"/>
      <sheetName val="#ССЫЛКА"/>
      <sheetName val="Дхд 639,3"/>
      <sheetName val="ТЭП гостиница"/>
      <sheetName val="рабочий"/>
      <sheetName val="Курсы"/>
      <sheetName val="Спис_Объекты_недв"/>
      <sheetName val="Master Inputs Start Here"/>
      <sheetName val="HBS initial"/>
      <sheetName val="BS (RAS)"/>
      <sheetName val="Резервы"/>
      <sheetName val="НФИк"/>
      <sheetName val="Financials"/>
      <sheetName val="Осн_данные"/>
      <sheetName val="Огл. Графиков"/>
      <sheetName val="Текущие цены"/>
      <sheetName val="g"/>
      <sheetName val="план"/>
      <sheetName val="исход-итог"/>
      <sheetName val="ИТОГО"/>
      <sheetName val="d"/>
      <sheetName val="Док+Исх"/>
      <sheetName val="Sheet2"/>
      <sheetName val="Исходные данные"/>
      <sheetName val="ЗУ Промка продажа"/>
      <sheetName val="инфо"/>
      <sheetName val="Статист"/>
      <sheetName val="Земля"/>
      <sheetName val="финплан стр.п."/>
      <sheetName val="Баз предп"/>
      <sheetName val="ОО"/>
      <sheetName val="исх 1"/>
      <sheetName val="Капвложения"/>
      <sheetName val="Легенда"/>
      <sheetName val="Трансформация бу в уу(сентябрь)"/>
      <sheetName val="Brif_zdanie"/>
      <sheetName val="Выписка_РФИ"/>
      <sheetName val="Имущество_элементы"/>
      <sheetName val="восст"/>
      <sheetName val="АС 1-Н"/>
      <sheetName val="Для шаблона"/>
      <sheetName val="затр_подх"/>
      <sheetName val="Запрос"/>
      <sheetName val="ПП"/>
      <sheetName val="Rev"/>
      <sheetName val="DCF"/>
      <sheetName val="TOC"/>
      <sheetName val="ПВД"/>
      <sheetName val="Коррект"/>
      <sheetName val="Forecast"/>
      <sheetName val="Сквозной расчет"/>
      <sheetName val="1.10.96"/>
      <sheetName val="Ср.пр."/>
      <sheetName val="Sheet5"/>
      <sheetName val="Расчет земли"/>
      <sheetName val="Смета"/>
      <sheetName val="общий"/>
      <sheetName val="Доходный подход аренда"/>
      <sheetName val=" Assumptions"/>
      <sheetName val="2002(v2)"/>
      <sheetName val="9.ДП"/>
      <sheetName val="Ставка дисконта"/>
      <sheetName val="от закзчика"/>
      <sheetName val="СП_КОМПЛЕКС"/>
      <sheetName val="4.озеленение"/>
      <sheetName val="1.ИСХ"/>
      <sheetName val="документы Кириши"/>
      <sheetName val="остаток через улучшения"/>
      <sheetName val="Титул"/>
      <sheetName val="цены цехов"/>
      <sheetName val="Промка"/>
      <sheetName val="Doc_Name"/>
      <sheetName val="Const"/>
      <sheetName val="Литер М"/>
      <sheetName val="аналоги коттедж (2)"/>
      <sheetName val="МСП т"/>
      <sheetName val="Ликвид."/>
      <sheetName val="Гр5(о)"/>
      <sheetName val="инвестиции 2007"/>
      <sheetName val="КС"/>
      <sheetName val="Группы"/>
      <sheetName val="1.14"/>
      <sheetName val="1.10"/>
      <sheetName val="МФК2"/>
      <sheetName val="УЧАСТКИ"/>
      <sheetName val="ar"/>
      <sheetName val="ТЭП своб.уч."/>
      <sheetName val="Разб"/>
      <sheetName val="Земля дох"/>
      <sheetName val="ЗП"/>
      <sheetName val="Итог"/>
      <sheetName val="ликв"/>
      <sheetName val="перечень"/>
      <sheetName val="Ар2"/>
      <sheetName val="dk"/>
      <sheetName val="БУ на 30.06.2008"/>
      <sheetName val="Лист3"/>
      <sheetName val="Исходные условия (константы)"/>
      <sheetName val="Функции"/>
      <sheetName val="Deprec"/>
      <sheetName val="Additions 2002"/>
      <sheetName val="Изменения"/>
      <sheetName val="проч ОС"/>
      <sheetName val="ставки_дисконта"/>
      <sheetName val="Для расчета амортизации"/>
      <sheetName val="физ_из_итог"/>
      <sheetName val="Гостиница станд "/>
      <sheetName val="Расчет офисов-рек"/>
      <sheetName val="АБ"/>
      <sheetName val="Номенклатура"/>
      <sheetName val="Согласование  и итог ОС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cept"/>
      <sheetName val="Budget"/>
      <sheetName val="Resi_Podi_offi"/>
      <sheetName val="Offices"/>
      <sheetName val="Town_Vill"/>
      <sheetName val="Offices+Retail"/>
      <sheetName val="inputs"/>
      <sheetName val="cf_"/>
      <sheetName val="output"/>
      <sheetName val="cf_20"/>
      <sheetName val="output_20"/>
      <sheetName val="cf_25"/>
      <sheetName val="output_25"/>
      <sheetName val="cf_30"/>
      <sheetName val="output_30"/>
      <sheetName val="maps"/>
      <sheetName val="output1"/>
      <sheetName val="output2"/>
      <sheetName val="output3"/>
      <sheetName val="output_"/>
      <sheetName val="output4"/>
      <sheetName val="Sheet3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5.05"/>
      <sheetName val="06.05"/>
      <sheetName val="Календарь"/>
      <sheetName val="Оплата выполнения"/>
      <sheetName val="Оплата по графикам"/>
      <sheetName val="Депозиты"/>
      <sheetName val="Аудит и инкассация"/>
      <sheetName val="Непроизводственные"/>
      <sheetName val="07.05"/>
      <sheetName val="08.05"/>
      <sheetName val="12.05"/>
      <sheetName val="13.0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НЭИ застр"/>
      <sheetName val="ННЭИ незастр"/>
      <sheetName val="Пред приб"/>
      <sheetName val="Модульный"/>
      <sheetName val="УПВС с землей"/>
      <sheetName val="УПВС"/>
      <sheetName val="рассчет ФИ"/>
      <sheetName val="признаки ФИ "/>
      <sheetName val="НФИк"/>
      <sheetName val="НФИд"/>
      <sheetName val="Лист1"/>
      <sheetName val="Расчет коэф мод"/>
      <sheetName val="УФУ2"/>
      <sheetName val="Расчет ст-ти модерн"/>
      <sheetName val="функ2рода кор"/>
      <sheetName val="земля"/>
      <sheetName val="Метод остат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НЭИ застр"/>
      <sheetName val="ННЭИ незастр"/>
      <sheetName val="Пред приб"/>
      <sheetName val="Модульный"/>
      <sheetName val="УПВС с землей"/>
      <sheetName val="УПВС"/>
      <sheetName val="рассчет ФИ"/>
      <sheetName val="признаки ФИ "/>
      <sheetName val="НФИк"/>
      <sheetName val="НФИд"/>
      <sheetName val="Лист1"/>
      <sheetName val="Расчет коэф мод"/>
      <sheetName val="УФУ2"/>
      <sheetName val="Расчет ст-ти модерн"/>
      <sheetName val="функ2рода кор"/>
      <sheetName val="земля"/>
      <sheetName val="Лист13"/>
      <sheetName val="Константы"/>
      <sheetName val="инвестиции 2007"/>
      <sheetName val="Метод остатка"/>
      <sheetName val="общие сведения"/>
      <sheetName val="Лист2"/>
      <sheetName val="ЗУ Промка продажа"/>
      <sheetName val="Служебны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7">
          <cell r="A17">
            <v>121669648.18420421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НЭИ застр"/>
      <sheetName val="ННЭИ незастр"/>
      <sheetName val="Пред приб"/>
      <sheetName val="Модульный"/>
      <sheetName val="УПВС с землей"/>
      <sheetName val="УПВС"/>
      <sheetName val="рассчет ФИ"/>
      <sheetName val="признаки ФИ "/>
      <sheetName val="НФИк"/>
      <sheetName val="НФИд"/>
      <sheetName val="Лист1"/>
      <sheetName val="Расчет коэф мод"/>
      <sheetName val="УФУ2"/>
      <sheetName val="Расчет ст-ти модерн"/>
      <sheetName val="функ2рода кор"/>
      <sheetName val="земля"/>
      <sheetName val="Метод остатка"/>
      <sheetName val="Содержание"/>
      <sheetName val="Машины и оборудование"/>
      <sheetName val="Здан-затр"/>
      <sheetName val="мса_СКЛАД"/>
      <sheetName val="констант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7">
          <cell r="A17">
            <v>121669648.18420421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 дан"/>
      <sheetName val="Ф1"/>
      <sheetName val="Ф2"/>
      <sheetName val="ФинАнализ"/>
      <sheetName val="Показатели"/>
      <sheetName val="Здан-затр"/>
      <sheetName val="Здан-взвеш. оценка"/>
      <sheetName val="Машины и оборудование"/>
      <sheetName val="Автотранспортные средства"/>
      <sheetName val="Прочие основные фонды"/>
      <sheetName val="Чист.ст-ть.реал-и"/>
      <sheetName val="Осн. средства-затрат"/>
      <sheetName val="Незавер_стр-во"/>
      <sheetName val="Нематер. активы"/>
      <sheetName val="Долг.фин.вл"/>
      <sheetName val="Обор. средства"/>
      <sheetName val="Обязат-ва"/>
      <sheetName val="Ставка дисконта"/>
      <sheetName val="Чист. акт."/>
      <sheetName val="Предпр.-взвеш. оценка"/>
      <sheetName val="Износ"/>
    </sheetNames>
    <sheetDataSet>
      <sheetData sheetId="0"/>
      <sheetData sheetId="1"/>
      <sheetData sheetId="2"/>
      <sheetData sheetId="3"/>
      <sheetData sheetId="4"/>
      <sheetData sheetId="5">
        <row r="83">
          <cell r="C83">
            <v>2.1287229464283519</v>
          </cell>
        </row>
      </sheetData>
      <sheetData sheetId="6"/>
      <sheetData sheetId="7">
        <row r="56">
          <cell r="D56">
            <v>2.5872571639071209</v>
          </cell>
          <cell r="E56">
            <v>3.0358854707015319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4"/>
      <sheetName val="график01.09.02"/>
      <sheetName val="график разраб план ф (25.09.02)"/>
      <sheetName val="график строительства (01.10.02)"/>
      <sheetName val="Лист1"/>
      <sheetName val="Лист2"/>
      <sheetName val="Лист3"/>
      <sheetName val="график01_09_02"/>
      <sheetName val="график строительства"/>
      <sheetName val="Метод остатка"/>
      <sheetName val="общие сведения"/>
      <sheetName val="Исходные"/>
      <sheetName val="НФИк"/>
      <sheetName val="Расходы"/>
      <sheetName val="рабочий"/>
      <sheetName val="общее"/>
      <sheetName val="исходник"/>
      <sheetName val="износ"/>
      <sheetName val="Sheet2"/>
      <sheetName val="исход-итог"/>
      <sheetName val="1.ИСХ"/>
      <sheetName val="документы Кириши"/>
      <sheetName val="Ценыобъемы"/>
      <sheetName val="9.ДП"/>
      <sheetName val="исх 1"/>
      <sheetName val="Смета"/>
      <sheetName val="Brif_zdanie"/>
      <sheetName val="свед"/>
      <sheetName val="Параметры"/>
      <sheetName val="Баз предп"/>
      <sheetName val="3.ЗУ "/>
      <sheetName val="Содержание"/>
      <sheetName val="Осн_данные"/>
      <sheetName val="Константы"/>
      <sheetName val="инвестиции 2007"/>
      <sheetName val="ТЭП гостиница"/>
      <sheetName val="Графики Гаврской 15-17"/>
      <sheetName val="инфо"/>
      <sheetName val="2.Продажа квартир"/>
      <sheetName val="таблица"/>
      <sheetName val="ИнвестицииСвод"/>
      <sheetName val="перечень с результатом"/>
      <sheetName val="Master Inputs Start here"/>
      <sheetName val="Инд"/>
      <sheetName val="Ставка Д"/>
      <sheetName val="ЛитБ"/>
      <sheetName val="Аренда Торговля"/>
      <sheetName val="Аренда СТО"/>
      <sheetName val="tmpB193"/>
      <sheetName val="Glossary"/>
      <sheetName val="Группы"/>
      <sheetName val="Резервы"/>
      <sheetName val="Машины и оборудование"/>
      <sheetName val="Здан-затр"/>
      <sheetName val="Док+Исх"/>
      <sheetName val="затр_подх"/>
      <sheetName val="Коды расх"/>
      <sheetName val="CASH FLOW RUR"/>
      <sheetName val="график01_09_021"/>
      <sheetName val="график_разраб_план_ф_(25_09_02)"/>
      <sheetName val="график_строительства_(01_10_02)"/>
      <sheetName val="Метод_остатка"/>
      <sheetName val="график_строительства"/>
      <sheetName val="Баз_предп"/>
      <sheetName val="общие_сведения"/>
      <sheetName val="1_ИСХ"/>
      <sheetName val="документы_Кириши"/>
      <sheetName val="9_ДП"/>
      <sheetName val="исх_1"/>
      <sheetName val="инвестиции_2007"/>
      <sheetName val="ТЭП_гостиница"/>
      <sheetName val="3_ЗУ_"/>
      <sheetName val="Master_Inputs_Start_here"/>
      <sheetName val="Аренда_Торговля"/>
      <sheetName val="Аренда_СТО"/>
      <sheetName val="Графики_Гаврской_15-17"/>
      <sheetName val="2_Продажа_квартир"/>
      <sheetName val="Ставка_Д"/>
      <sheetName val="перечень_с_результатом"/>
      <sheetName val="Коды_расх"/>
      <sheetName val="CASH_FLOW_RUR"/>
      <sheetName val="Машины_и_оборудование"/>
      <sheetName val="Hypothèses_P&amp;L"/>
      <sheetName val="Лист13"/>
      <sheetName val="Hypothèses P&amp;L"/>
      <sheetName val="общие данные"/>
      <sheetName val="Кредит"/>
      <sheetName val="Из (2)"/>
      <sheetName val="Итог"/>
      <sheetName val="Корр."/>
      <sheetName val="Участ"/>
      <sheetName val="ПВС"/>
      <sheetName val="ПРО"/>
      <sheetName val="У.в (2)"/>
      <sheetName val="У.в (4)"/>
      <sheetName val="6.Продажа квартир"/>
      <sheetName val="3.ЗАТРАТЫ"/>
      <sheetName val="Форма 7 (Скважины)"/>
      <sheetName val="Начало"/>
      <sheetName val="Свод S"/>
      <sheetName val="план"/>
      <sheetName val="14.ДП"/>
      <sheetName val="1.ИСХ "/>
      <sheetName val="Данные по проекту"/>
      <sheetName val="кровля подр"/>
    </sheetNames>
    <sheetDataSet>
      <sheetData sheetId="0" refreshError="1"/>
      <sheetData sheetId="1" refreshError="1">
        <row r="3">
          <cell r="D3">
            <v>1.4999999999999999E-2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>
        <row r="3">
          <cell r="D3">
            <v>1.4999999999999999E-2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ОглВвед"/>
      <sheetName val="сценарные усл"/>
      <sheetName val="КонтрЦифры"/>
      <sheetName val="свод_эффект без иностр"/>
      <sheetName val="свод_эффект с иност"/>
      <sheetName val="Ф2ЗАО"/>
      <sheetName val="ИнвестицииСвод"/>
      <sheetName val="график ремонтов"/>
      <sheetName val="ОглСл"/>
      <sheetName val="СЛсырье"/>
      <sheetName val="СЛПроизв"/>
      <sheetName val="СлРеализ"/>
      <sheetName val="ЦеныСл"/>
      <sheetName val="СметаСЛ Ист"/>
      <sheetName val="СметаСлИнвест"/>
      <sheetName val="ВнереалСл"/>
      <sheetName val="ЭП Сл кварт"/>
      <sheetName val="ОглСОС"/>
      <sheetName val="СОСсырье"/>
      <sheetName val="СОСПроизв"/>
      <sheetName val="СОСРеализ"/>
      <sheetName val="ЦеныСОС"/>
      <sheetName val="СметаСОСИст"/>
      <sheetName val="СметаСОСИнвест"/>
      <sheetName val="ВнереалСОС"/>
      <sheetName val="ЭП СОС кварт"/>
      <sheetName val="ОглЛУК"/>
      <sheetName val="ЛУКсырье"/>
      <sheetName val="ЛУКПроизв"/>
      <sheetName val="ЛУКРеализ"/>
      <sheetName val="ЦеныЛУК"/>
      <sheetName val="СметаЛО"/>
      <sheetName val="СметаЛОИнвест"/>
      <sheetName val="ВнереалЛО"/>
      <sheetName val="ЭП ЛО кварт"/>
      <sheetName val="ОглПепепрод"/>
      <sheetName val="продажаТов"/>
      <sheetName val="ЭП ГСМ кварт"/>
      <sheetName val="ОглЗАО"/>
      <sheetName val="РасходыЗАО"/>
      <sheetName val="СметаЗАОИнвест"/>
      <sheetName val="РасходыООО"/>
      <sheetName val="СметаОООИнвест"/>
      <sheetName val="РасходыДубак"/>
      <sheetName val="СметаДубакИнвест"/>
      <sheetName val="постановочные вопросы"/>
      <sheetName val="замечания"/>
      <sheetName val="допущения"/>
      <sheetName val="Кварталы"/>
      <sheetName val="СметаВАРСИнвест"/>
      <sheetName val="СЛПроизвсрав (2)"/>
      <sheetName val="КонтрПоказатели"/>
      <sheetName val="свод_эффект"/>
      <sheetName val="СЛПроизвсрав"/>
      <sheetName val="СметаСЛ"/>
      <sheetName val="СлДинВнер"/>
      <sheetName val="СлВнерализ"/>
      <sheetName val="СОСПроизвсрав"/>
      <sheetName val="СметаСОС"/>
      <sheetName val="СОСВнерализ"/>
      <sheetName val="СОСВнерализ2002"/>
      <sheetName val="ЛУКПроизвсрав"/>
      <sheetName val="СметаЛУКИнвест"/>
      <sheetName val="ЛУКВнерализ"/>
      <sheetName val="ОглПрил"/>
      <sheetName val="ЭП Ставропласт"/>
      <sheetName val="инвест ресурс"/>
      <sheetName val="СметаЛУКИнвестИтог"/>
      <sheetName val="РемФонд"/>
      <sheetName val="Данные"/>
      <sheetName val="Огл1"/>
      <sheetName val="Огл2"/>
      <sheetName val="Огл3"/>
      <sheetName val="Огл4"/>
      <sheetName val="Огл5"/>
      <sheetName val="Огл6"/>
      <sheetName val="Реестр"/>
      <sheetName val="Лист1"/>
      <sheetName val="Лист2"/>
      <sheetName val="УПСС "/>
      <sheetName val="Машины и оборудование"/>
      <sheetName val="Здан-затр"/>
      <sheetName val="Номенклатура"/>
      <sheetName val="Monte-Carlo Data"/>
      <sheetName val="Ф №10"/>
      <sheetName val="Econ Balance"/>
      <sheetName val="Balance Sheet"/>
      <sheetName val="Оценка Объединенная"/>
      <sheetName val="Существующие ОС"/>
      <sheetName val="Кап вложения (вода)"/>
      <sheetName val="Кап вложения (канализация)"/>
      <sheetName val="Кап вложения (реконструкция)"/>
      <sheetName val="Баланс Объединенная"/>
      <sheetName val="ПП Вода V"/>
      <sheetName val="ПП Стоки V"/>
      <sheetName val="Сценарии"/>
      <sheetName val="Доходы"/>
      <sheetName val="ОС"/>
      <sheetName val="Кредиты"/>
      <sheetName val="План бюджет ВР 2008"/>
      <sheetName val="Расходы"/>
      <sheetName val="БДР Объединенная"/>
      <sheetName val="Дебиторы"/>
      <sheetName val="Лист3"/>
      <sheetName val="БДР"/>
      <sheetName val="Sal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№1"/>
      <sheetName val="Сводные показатели"/>
      <sheetName val="Накладные расходы"/>
      <sheetName val="По потребителям"/>
      <sheetName val="Тарифы по перевозке"/>
      <sheetName val="Параметры ФОТ"/>
      <sheetName val="Д1. Увеличение стоимости ИХ"/>
      <sheetName val="Д2. Увеличение стоимости ОХ"/>
      <sheetName val="Контрагенты"/>
      <sheetName val="Служебный"/>
      <sheetName val="график строительства"/>
    </sheetNames>
    <sheetDataSet>
      <sheetData sheetId="0"/>
      <sheetData sheetId="1"/>
      <sheetData sheetId="2"/>
      <sheetData sheetId="3"/>
      <sheetData sheetId="4"/>
      <sheetData sheetId="5">
        <row r="14">
          <cell r="B14" t="str">
            <v>Марюкова И.А.</v>
          </cell>
        </row>
      </sheetData>
      <sheetData sheetId="6" refreshError="1"/>
      <sheetData sheetId="7" refreshError="1"/>
      <sheetData sheetId="8">
        <row r="6">
          <cell r="C6" t="str">
            <v>Raisio Chemicals Ltd.</v>
          </cell>
        </row>
      </sheetData>
      <sheetData sheetId="9" refreshError="1"/>
      <sheetData sheetId="1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внутр. оценка"/>
      <sheetName val="коэф.анализ"/>
      <sheetName val="Модуль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TI&gt;&gt;"/>
      <sheetName val="Недвижимость-1"/>
      <sheetName val="Недвижимость-2"/>
      <sheetName val="ИТОГО ОС (счет 01,07,08)"/>
      <sheetName val="Расчеты&gt;&gt;"/>
      <sheetName val="ЗП (КО-ИНВЕСТ)"/>
      <sheetName val="ЗП (Индексация)"/>
      <sheetName val="Реестр"/>
      <sheetName val="Износы"/>
      <sheetName val="Весы"/>
      <sheetName val="Мехтоки"/>
      <sheetName val="Асфальт"/>
      <sheetName val="Ответы на вопросы 1"/>
      <sheetName val="Ответы на вопросы 2"/>
      <sheetName val="Маршал и свифт"/>
      <sheetName val="Итоги"/>
      <sheetName val="Аналитика&gt;&gt;"/>
      <sheetName val="Корректировки - ЗП"/>
      <sheetName val="Индексы КО_ИНВЕСТ"/>
    </sheetNames>
    <sheetDataSet>
      <sheetData sheetId="0"/>
      <sheetData sheetId="1">
        <row r="1">
          <cell r="T1">
            <v>20</v>
          </cell>
        </row>
      </sheetData>
      <sheetData sheetId="2"/>
      <sheetData sheetId="3"/>
      <sheetData sheetId="4"/>
      <sheetData sheetId="5"/>
      <sheetData sheetId="6">
        <row r="3">
          <cell r="A3">
            <v>1</v>
          </cell>
          <cell r="B3" t="str">
            <v>Р00009098</v>
          </cell>
          <cell r="C3" t="str">
            <v xml:space="preserve"> Жилой 1кв дом   ул.Первомайская, дом №43А об.пл. 113,3 кв.м. Усл.№  23-23-27/029/2008-711</v>
          </cell>
          <cell r="D3">
            <v>40918</v>
          </cell>
          <cell r="E3">
            <v>40918</v>
          </cell>
          <cell r="F3">
            <v>2600000</v>
          </cell>
          <cell r="G3">
            <v>1.1736089030206676</v>
          </cell>
          <cell r="H3">
            <v>3051383.1478537358</v>
          </cell>
          <cell r="I3">
            <v>3.9753424657534246</v>
          </cell>
          <cell r="J3" t="str">
            <v>блоки легкобетонные</v>
          </cell>
          <cell r="K3">
            <v>0</v>
          </cell>
          <cell r="L3">
            <v>60</v>
          </cell>
          <cell r="M3">
            <v>6.6255707762557084E-2</v>
          </cell>
          <cell r="N3">
            <v>0</v>
          </cell>
          <cell r="O3">
            <v>0</v>
          </cell>
          <cell r="P3">
            <v>6.625570776255707E-2</v>
          </cell>
          <cell r="Q3">
            <v>2261495.66</v>
          </cell>
          <cell r="R3">
            <v>19960.244130626656</v>
          </cell>
          <cell r="S3" t="str">
            <v>Соответствует</v>
          </cell>
          <cell r="T3">
            <v>2849212</v>
          </cell>
          <cell r="U3">
            <v>25147.502206531335</v>
          </cell>
          <cell r="V3">
            <v>1.2598794905491881</v>
          </cell>
          <cell r="W3" t="str">
            <v>Соответствует</v>
          </cell>
          <cell r="X3" t="str">
            <v>отличное</v>
          </cell>
          <cell r="Y3">
            <v>0.05</v>
          </cell>
          <cell r="Z3">
            <v>2898813.9904610491</v>
          </cell>
          <cell r="AA3">
            <v>25585.295591006612</v>
          </cell>
          <cell r="AB3">
            <v>1.28181275857989</v>
          </cell>
          <cell r="AC3" t="str">
            <v>Соответствует</v>
          </cell>
          <cell r="AD3" t="str">
            <v>Не рассчитывалась</v>
          </cell>
          <cell r="AE3" t="str">
            <v>Не рассчитывалась</v>
          </cell>
          <cell r="AF3" t="e">
            <v>#VALUE!</v>
          </cell>
          <cell r="AG3">
            <v>113.3</v>
          </cell>
          <cell r="AH3">
            <v>0</v>
          </cell>
          <cell r="AI3" t="str">
            <v>Уточнить состояние по фото</v>
          </cell>
          <cell r="AL3">
            <v>2849212</v>
          </cell>
          <cell r="AM3" t="str">
            <v>По сроку службы</v>
          </cell>
        </row>
        <row r="4">
          <cell r="A4">
            <v>2</v>
          </cell>
          <cell r="B4" t="str">
            <v>Р00008438</v>
          </cell>
          <cell r="C4" t="str">
            <v xml:space="preserve"> Жилой 1кв дом  ул.Красная ,138 Об.пл. 117,4 кв.м. Усл № 23:11:07 01 022:0003:03:220:001</v>
          </cell>
          <cell r="D4">
            <v>40513</v>
          </cell>
          <cell r="E4">
            <v>40513</v>
          </cell>
          <cell r="F4">
            <v>2500000</v>
          </cell>
          <cell r="G4">
            <v>1.4577409162717219</v>
          </cell>
          <cell r="H4">
            <v>3644352.2906793049</v>
          </cell>
          <cell r="I4">
            <v>5.0849315068493155</v>
          </cell>
          <cell r="J4" t="str">
            <v>кирпичные</v>
          </cell>
          <cell r="K4">
            <v>0</v>
          </cell>
          <cell r="L4">
            <v>60</v>
          </cell>
          <cell r="M4">
            <v>8.4748858447488598E-2</v>
          </cell>
          <cell r="N4">
            <v>0</v>
          </cell>
          <cell r="O4">
            <v>0</v>
          </cell>
          <cell r="P4">
            <v>8.4748858447488584E-2</v>
          </cell>
          <cell r="Q4">
            <v>2084487.4</v>
          </cell>
          <cell r="R4">
            <v>17755.429301533219</v>
          </cell>
          <cell r="S4" t="str">
            <v>Соответствует</v>
          </cell>
          <cell r="T4">
            <v>3335498</v>
          </cell>
          <cell r="U4">
            <v>28411.396933560474</v>
          </cell>
          <cell r="V4">
            <v>1.6001526322490605</v>
          </cell>
          <cell r="W4" t="str">
            <v>Соответствует</v>
          </cell>
          <cell r="X4" t="str">
            <v>отличное</v>
          </cell>
          <cell r="Y4">
            <v>0.05</v>
          </cell>
          <cell r="Z4">
            <v>3462134.6761453394</v>
          </cell>
          <cell r="AA4">
            <v>29490.073902430486</v>
          </cell>
          <cell r="AB4">
            <v>1.6609045831341267</v>
          </cell>
          <cell r="AC4" t="str">
            <v>Соответствует</v>
          </cell>
          <cell r="AD4" t="str">
            <v>Не рассчитывалась</v>
          </cell>
          <cell r="AE4" t="str">
            <v>Не рассчитывалась</v>
          </cell>
          <cell r="AF4" t="e">
            <v>#VALUE!</v>
          </cell>
          <cell r="AG4">
            <v>117.4</v>
          </cell>
          <cell r="AH4">
            <v>0</v>
          </cell>
          <cell r="AI4" t="str">
            <v>Уточнить состояние по фото</v>
          </cell>
          <cell r="AL4">
            <v>3335498</v>
          </cell>
          <cell r="AM4" t="str">
            <v>По сроку службы</v>
          </cell>
        </row>
        <row r="5">
          <cell r="A5">
            <v>3</v>
          </cell>
          <cell r="B5">
            <v>417</v>
          </cell>
          <cell r="C5" t="str">
            <v>Агрохимкомплекс (289) рас-во Об.S-664,4 кв.м. Литер А  Кад№ 23:11:0702000:755</v>
          </cell>
          <cell r="D5">
            <v>28109</v>
          </cell>
          <cell r="E5">
            <v>28109</v>
          </cell>
          <cell r="F5">
            <v>1770791.99</v>
          </cell>
          <cell r="G5">
            <v>13.261762999999998</v>
          </cell>
          <cell r="H5">
            <v>23483823.693678368</v>
          </cell>
          <cell r="I5">
            <v>39.06849315068493</v>
          </cell>
          <cell r="J5" t="str">
            <v>ж/б блоки</v>
          </cell>
          <cell r="K5">
            <v>0</v>
          </cell>
          <cell r="L5">
            <v>50</v>
          </cell>
          <cell r="M5">
            <v>0.7813698630136986</v>
          </cell>
          <cell r="N5">
            <v>0</v>
          </cell>
          <cell r="O5">
            <v>0</v>
          </cell>
          <cell r="P5">
            <v>0.7813698630136986</v>
          </cell>
          <cell r="Q5">
            <v>77881.550000000047</v>
          </cell>
          <cell r="R5">
            <v>117.22087597832639</v>
          </cell>
          <cell r="S5" t="str">
            <v>Не соответствует</v>
          </cell>
          <cell r="T5">
            <v>5134272</v>
          </cell>
          <cell r="U5">
            <v>7727.6821192052985</v>
          </cell>
          <cell r="V5">
            <v>65.924111679852246</v>
          </cell>
          <cell r="W5" t="str">
            <v>Не соответствует</v>
          </cell>
          <cell r="X5" t="str">
            <v>хорошее</v>
          </cell>
          <cell r="Y5">
            <v>0.3</v>
          </cell>
          <cell r="Z5">
            <v>16438676.585574856</v>
          </cell>
          <cell r="AA5">
            <v>24742.138148065707</v>
          </cell>
          <cell r="AB5">
            <v>211.07279690215265</v>
          </cell>
          <cell r="AC5" t="str">
            <v>Соответствует</v>
          </cell>
          <cell r="AD5" t="str">
            <v>Не рассчитывалась</v>
          </cell>
          <cell r="AE5" t="str">
            <v>Не рассчитывалась</v>
          </cell>
          <cell r="AF5" t="e">
            <v>#VALUE!</v>
          </cell>
          <cell r="AG5">
            <v>664.4</v>
          </cell>
          <cell r="AH5" t="str">
            <v>реконструкция</v>
          </cell>
          <cell r="AI5">
            <v>0</v>
          </cell>
          <cell r="AL5">
            <v>16438676.585574856</v>
          </cell>
          <cell r="AM5" t="str">
            <v>Экспертно</v>
          </cell>
        </row>
        <row r="6">
          <cell r="A6">
            <v>4</v>
          </cell>
          <cell r="B6">
            <v>377</v>
          </cell>
          <cell r="C6" t="str">
            <v>Бригадный дом (270) бр2  Литер Б Об.пл. 211,7 кв.м.  Кад№ 23:11:0607000:1660</v>
          </cell>
          <cell r="D6">
            <v>28839</v>
          </cell>
          <cell r="E6">
            <v>28839</v>
          </cell>
          <cell r="F6">
            <v>1764560.46</v>
          </cell>
          <cell r="G6">
            <v>13.261762999999998</v>
          </cell>
          <cell r="H6">
            <v>23401182.619690977</v>
          </cell>
          <cell r="I6">
            <v>37.06849315068493</v>
          </cell>
          <cell r="J6" t="str">
            <v>каменные</v>
          </cell>
          <cell r="K6">
            <v>0</v>
          </cell>
          <cell r="L6">
            <v>60</v>
          </cell>
          <cell r="M6">
            <v>0.61780821917808215</v>
          </cell>
          <cell r="N6">
            <v>0</v>
          </cell>
          <cell r="O6">
            <v>0</v>
          </cell>
          <cell r="P6">
            <v>0.61780821917808215</v>
          </cell>
          <cell r="Q6">
            <v>459967.58000000007</v>
          </cell>
          <cell r="R6">
            <v>2172.733018422296</v>
          </cell>
          <cell r="S6" t="str">
            <v>Не соответствует</v>
          </cell>
          <cell r="T6">
            <v>8943740</v>
          </cell>
          <cell r="U6">
            <v>42247.236655644781</v>
          </cell>
          <cell r="V6">
            <v>19.444283442759158</v>
          </cell>
          <cell r="W6" t="str">
            <v>Соответствует</v>
          </cell>
          <cell r="X6" t="str">
            <v>хорошее</v>
          </cell>
          <cell r="Y6">
            <v>0.3</v>
          </cell>
          <cell r="Z6">
            <v>16380827.833783682</v>
          </cell>
          <cell r="AA6">
            <v>77377.552356087312</v>
          </cell>
          <cell r="AB6">
            <v>35.61300523350728</v>
          </cell>
          <cell r="AC6" t="str">
            <v>Не соответствует</v>
          </cell>
          <cell r="AD6" t="str">
            <v>Не рассчитывалась</v>
          </cell>
          <cell r="AE6" t="str">
            <v>Не рассчитывалась</v>
          </cell>
          <cell r="AF6" t="e">
            <v>#VALUE!</v>
          </cell>
          <cell r="AG6">
            <v>211.7</v>
          </cell>
          <cell r="AH6" t="str">
            <v>реконструкция</v>
          </cell>
          <cell r="AI6" t="str">
            <v>Уточнить состояние по фото</v>
          </cell>
          <cell r="AJ6" t="str">
            <v>Чем обусловлена разница в БС в 8 раз между объектами инв. №377 и №380?</v>
          </cell>
          <cell r="AK6">
            <v>1</v>
          </cell>
          <cell r="AL6">
            <v>8943740</v>
          </cell>
          <cell r="AM6" t="str">
            <v>По сроку службы</v>
          </cell>
        </row>
        <row r="7">
          <cell r="A7">
            <v>5</v>
          </cell>
          <cell r="B7">
            <v>380</v>
          </cell>
          <cell r="C7" t="str">
            <v>Бригадный дом (399) МТФ №5  Об.пл. 276,8 кв.м. Кад№  23:11:0607000:1578</v>
          </cell>
          <cell r="D7">
            <v>24837</v>
          </cell>
          <cell r="E7">
            <v>24837</v>
          </cell>
          <cell r="F7">
            <v>215914.58</v>
          </cell>
          <cell r="G7">
            <v>13.261762999999998</v>
          </cell>
          <cell r="H7">
            <v>2863407.9882045393</v>
          </cell>
          <cell r="I7">
            <v>48.032876712328765</v>
          </cell>
          <cell r="J7" t="str">
            <v>каменные</v>
          </cell>
          <cell r="K7">
            <v>0</v>
          </cell>
          <cell r="L7">
            <v>60</v>
          </cell>
          <cell r="M7">
            <v>0.8</v>
          </cell>
          <cell r="N7">
            <v>0</v>
          </cell>
          <cell r="O7">
            <v>0</v>
          </cell>
          <cell r="P7">
            <v>0.8</v>
          </cell>
          <cell r="Q7">
            <v>134947.33999999997</v>
          </cell>
          <cell r="R7">
            <v>487.52651734104035</v>
          </cell>
          <cell r="S7" t="str">
            <v>Не соответствует</v>
          </cell>
          <cell r="T7">
            <v>572682</v>
          </cell>
          <cell r="U7">
            <v>2068.9378612716764</v>
          </cell>
          <cell r="V7">
            <v>4.2437442635030829</v>
          </cell>
          <cell r="W7" t="str">
            <v>Не соответствует</v>
          </cell>
          <cell r="X7" t="str">
            <v>хорошее</v>
          </cell>
          <cell r="Y7">
            <v>0.3</v>
          </cell>
          <cell r="Z7">
            <v>2004385.5917431773</v>
          </cell>
          <cell r="AA7">
            <v>7241.2774268178364</v>
          </cell>
          <cell r="AB7">
            <v>14.853094486658112</v>
          </cell>
          <cell r="AC7" t="str">
            <v>Соответствует</v>
          </cell>
          <cell r="AD7" t="str">
            <v>Не рассчитывалась</v>
          </cell>
          <cell r="AE7" t="str">
            <v>Не рассчитывалась</v>
          </cell>
          <cell r="AF7" t="e">
            <v>#VALUE!</v>
          </cell>
          <cell r="AG7">
            <v>276.8</v>
          </cell>
          <cell r="AH7" t="str">
            <v>реконструкция</v>
          </cell>
          <cell r="AI7">
            <v>0</v>
          </cell>
          <cell r="AJ7" t="str">
            <v>Чем обусловлена разница в БС в 8 раз между объектами инв. №377 и №380?</v>
          </cell>
          <cell r="AK7">
            <v>1</v>
          </cell>
          <cell r="AL7">
            <v>2004385.5917431773</v>
          </cell>
          <cell r="AM7" t="str">
            <v>Экспертно</v>
          </cell>
        </row>
        <row r="8">
          <cell r="A8">
            <v>6</v>
          </cell>
          <cell r="B8">
            <v>401</v>
          </cell>
          <cell r="C8" t="str">
            <v>Весовая на 30 тонн Об.S-151,1 кв.м.(Навес весовой (274) бр2  Литер Ааа1) Кад№ 23:11:0607000:1570</v>
          </cell>
          <cell r="D8">
            <v>31761</v>
          </cell>
          <cell r="E8">
            <v>31761</v>
          </cell>
          <cell r="F8">
            <v>1775133.99</v>
          </cell>
          <cell r="G8">
            <v>13.261762999999998</v>
          </cell>
          <cell r="H8">
            <v>23541406.268624365</v>
          </cell>
          <cell r="I8">
            <v>29.063013698630137</v>
          </cell>
          <cell r="J8" t="str">
            <v>металлические</v>
          </cell>
          <cell r="K8">
            <v>0</v>
          </cell>
          <cell r="L8">
            <v>35</v>
          </cell>
          <cell r="M8">
            <v>0.8</v>
          </cell>
          <cell r="N8">
            <v>0</v>
          </cell>
          <cell r="O8">
            <v>0</v>
          </cell>
          <cell r="P8">
            <v>0.8</v>
          </cell>
          <cell r="Q8">
            <v>629473.31000000006</v>
          </cell>
          <cell r="R8">
            <v>4165.9385175380548</v>
          </cell>
          <cell r="S8" t="str">
            <v>Не соответствует</v>
          </cell>
          <cell r="T8">
            <v>4708281</v>
          </cell>
          <cell r="U8">
            <v>31160.033090668432</v>
          </cell>
          <cell r="V8">
            <v>7.4797150652821163</v>
          </cell>
          <cell r="W8" t="str">
            <v>Соответствует</v>
          </cell>
          <cell r="X8" t="str">
            <v>отличное</v>
          </cell>
          <cell r="Y8">
            <v>0.1</v>
          </cell>
          <cell r="Z8">
            <v>21187265.641761929</v>
          </cell>
          <cell r="AA8">
            <v>140220.15646434104</v>
          </cell>
          <cell r="AB8">
            <v>33.658719607606443</v>
          </cell>
          <cell r="AC8" t="str">
            <v>Не соответствует</v>
          </cell>
          <cell r="AD8" t="str">
            <v>Не рассчитывалась</v>
          </cell>
          <cell r="AE8" t="str">
            <v>Не рассчитывалась</v>
          </cell>
          <cell r="AF8" t="e">
            <v>#VALUE!</v>
          </cell>
          <cell r="AG8">
            <v>151.1</v>
          </cell>
          <cell r="AH8" t="str">
            <v>реконструкция</v>
          </cell>
          <cell r="AI8" t="str">
            <v>Возможно с оборудованием? Уточнить состояние.</v>
          </cell>
          <cell r="AJ8" t="str">
            <v>Стоимость оборудования порядка 100000 руб. + фундамент + доставка + монтаж. Новые весы стоят порядка 240000 руб. С учетом изготовления фундамента, доставки и монтажа весов, а также будки, стоимость весовой, рассчитанная по сроку службы представляется адекватной.</v>
          </cell>
          <cell r="AL8">
            <v>4708281</v>
          </cell>
          <cell r="AM8" t="str">
            <v>По сроку службы</v>
          </cell>
        </row>
        <row r="9">
          <cell r="A9">
            <v>7</v>
          </cell>
          <cell r="B9">
            <v>400</v>
          </cell>
          <cell r="C9" t="str">
            <v>Весовая на 30т об.S-98,1 кв.м.(Навес весовой (316) бр1  Литер Ж)  Кад№ 23:11:0607000:2204</v>
          </cell>
          <cell r="D9">
            <v>31031</v>
          </cell>
          <cell r="E9">
            <v>31031</v>
          </cell>
          <cell r="F9">
            <v>66624</v>
          </cell>
          <cell r="G9">
            <v>13.261762999999998</v>
          </cell>
          <cell r="H9">
            <v>883551.6981119999</v>
          </cell>
          <cell r="I9">
            <v>31.063013698630137</v>
          </cell>
          <cell r="J9" t="str">
            <v>кирпичные</v>
          </cell>
          <cell r="K9">
            <v>0</v>
          </cell>
          <cell r="L9">
            <v>60</v>
          </cell>
          <cell r="M9">
            <v>0.517716894977169</v>
          </cell>
          <cell r="N9">
            <v>0</v>
          </cell>
          <cell r="O9">
            <v>0</v>
          </cell>
          <cell r="P9">
            <v>0.517716894977169</v>
          </cell>
          <cell r="Q9">
            <v>0</v>
          </cell>
          <cell r="R9">
            <v>0</v>
          </cell>
          <cell r="S9" t="str">
            <v>Не соответствует</v>
          </cell>
          <cell r="T9">
            <v>426122</v>
          </cell>
          <cell r="U9">
            <v>4343.7512742099898</v>
          </cell>
          <cell r="V9" t="e">
            <v>#DIV/0!</v>
          </cell>
          <cell r="W9" t="str">
            <v>Соответствует</v>
          </cell>
          <cell r="X9" t="str">
            <v>удовлетворительное</v>
          </cell>
          <cell r="Y9">
            <v>0.5</v>
          </cell>
          <cell r="Z9">
            <v>441775.84905599995</v>
          </cell>
          <cell r="AA9">
            <v>4503.3216009785929</v>
          </cell>
          <cell r="AB9" t="e">
            <v>#DIV/0!</v>
          </cell>
          <cell r="AC9" t="str">
            <v>Соответствует</v>
          </cell>
          <cell r="AD9" t="str">
            <v>Не рассчитывалась</v>
          </cell>
          <cell r="AE9" t="str">
            <v>Не рассчитывалась</v>
          </cell>
          <cell r="AF9" t="e">
            <v>#VALUE!</v>
          </cell>
          <cell r="AG9">
            <v>98.1</v>
          </cell>
          <cell r="AH9" t="str">
            <v>будет использоваться</v>
          </cell>
          <cell r="AI9">
            <v>0</v>
          </cell>
          <cell r="AL9">
            <v>426122</v>
          </cell>
          <cell r="AM9" t="str">
            <v>По сроку службы</v>
          </cell>
        </row>
        <row r="10">
          <cell r="A10">
            <v>8</v>
          </cell>
          <cell r="B10">
            <v>397</v>
          </cell>
          <cell r="C10" t="str">
            <v>Гараж  для  а/машин (419) АТП Об.S-2122,9 кв.м. Литер Б  Кад№ 23:11:0607000:1914</v>
          </cell>
          <cell r="D10">
            <v>24456</v>
          </cell>
          <cell r="E10">
            <v>24456</v>
          </cell>
          <cell r="F10">
            <v>272726</v>
          </cell>
          <cell r="G10">
            <v>13.261762999999998</v>
          </cell>
          <cell r="H10">
            <v>3616827.5759379994</v>
          </cell>
          <cell r="I10">
            <v>49.076712328767123</v>
          </cell>
          <cell r="J10" t="str">
            <v>каменные</v>
          </cell>
          <cell r="K10">
            <v>0</v>
          </cell>
          <cell r="L10">
            <v>60</v>
          </cell>
          <cell r="M10">
            <v>0.8</v>
          </cell>
          <cell r="N10">
            <v>0</v>
          </cell>
          <cell r="O10">
            <v>0</v>
          </cell>
          <cell r="P10">
            <v>0.8</v>
          </cell>
          <cell r="Q10">
            <v>170453.24</v>
          </cell>
          <cell r="R10">
            <v>80.29263742993075</v>
          </cell>
          <cell r="S10" t="str">
            <v>Не соответствует</v>
          </cell>
          <cell r="T10">
            <v>723366</v>
          </cell>
          <cell r="U10">
            <v>340.74426492062742</v>
          </cell>
          <cell r="V10">
            <v>4.2437797016941419</v>
          </cell>
          <cell r="W10" t="str">
            <v>Соответствует</v>
          </cell>
          <cell r="X10" t="str">
            <v>неудовлетворительное</v>
          </cell>
          <cell r="Y10">
            <v>0.8</v>
          </cell>
          <cell r="Z10">
            <v>723365.5151875997</v>
          </cell>
          <cell r="AA10">
            <v>340.74403654792957</v>
          </cell>
          <cell r="AB10">
            <v>4.2437768574396104</v>
          </cell>
          <cell r="AC10" t="str">
            <v>Соответствует</v>
          </cell>
          <cell r="AD10" t="str">
            <v>Не рассчитывалась</v>
          </cell>
          <cell r="AE10" t="str">
            <v>Не рассчитывалась</v>
          </cell>
          <cell r="AF10" t="e">
            <v>#VALUE!</v>
          </cell>
          <cell r="AG10">
            <v>2122.9</v>
          </cell>
          <cell r="AH10" t="str">
            <v>будет использоваться</v>
          </cell>
          <cell r="AI10" t="str">
            <v>Уточнить состояние по фото</v>
          </cell>
          <cell r="AL10">
            <v>723365.5151875997</v>
          </cell>
          <cell r="AM10" t="str">
            <v>Экспертно</v>
          </cell>
        </row>
        <row r="11">
          <cell r="A11">
            <v>9</v>
          </cell>
          <cell r="B11">
            <v>395</v>
          </cell>
          <cell r="C11" t="str">
            <v>Гараж на 50 а/машин (426) АТП Об.S-1849,4 кв.м. Литер В Кад№  23:11:0607000:1913</v>
          </cell>
          <cell r="D11">
            <v>30300</v>
          </cell>
          <cell r="E11">
            <v>30300</v>
          </cell>
          <cell r="F11">
            <v>736585</v>
          </cell>
          <cell r="G11">
            <v>13.261762999999998</v>
          </cell>
          <cell r="H11">
            <v>9768415.6993549988</v>
          </cell>
          <cell r="I11">
            <v>33.065753424657537</v>
          </cell>
          <cell r="J11" t="str">
            <v>каменные</v>
          </cell>
          <cell r="K11">
            <v>0</v>
          </cell>
          <cell r="L11">
            <v>60</v>
          </cell>
          <cell r="M11">
            <v>0.55109589041095897</v>
          </cell>
          <cell r="N11">
            <v>0</v>
          </cell>
          <cell r="O11">
            <v>0</v>
          </cell>
          <cell r="P11">
            <v>0.55109589041095897</v>
          </cell>
          <cell r="Q11">
            <v>0</v>
          </cell>
          <cell r="R11">
            <v>0</v>
          </cell>
          <cell r="S11" t="str">
            <v>Не соответствует</v>
          </cell>
          <cell r="T11">
            <v>4385082</v>
          </cell>
          <cell r="U11">
            <v>2371.0835946793554</v>
          </cell>
          <cell r="V11" t="e">
            <v>#DIV/0!</v>
          </cell>
          <cell r="W11" t="str">
            <v>Соответствует</v>
          </cell>
          <cell r="X11" t="str">
            <v>удовлетворительное</v>
          </cell>
          <cell r="Y11">
            <v>0.6</v>
          </cell>
          <cell r="Z11">
            <v>3907366.2797419997</v>
          </cell>
          <cell r="AA11">
            <v>2112.775105300097</v>
          </cell>
          <cell r="AB11" t="e">
            <v>#DIV/0!</v>
          </cell>
          <cell r="AC11" t="str">
            <v>Соответствует</v>
          </cell>
          <cell r="AD11" t="str">
            <v>Не рассчитывалась</v>
          </cell>
          <cell r="AE11" t="str">
            <v>Не рассчитывалась</v>
          </cell>
          <cell r="AF11" t="e">
            <v>#VALUE!</v>
          </cell>
          <cell r="AG11">
            <v>1849.4</v>
          </cell>
          <cell r="AH11" t="str">
            <v>будет использоваться</v>
          </cell>
          <cell r="AI11">
            <v>0</v>
          </cell>
          <cell r="AL11">
            <v>3907366.2797419997</v>
          </cell>
          <cell r="AM11" t="str">
            <v>Экспертно</v>
          </cell>
        </row>
        <row r="12">
          <cell r="A12">
            <v>10</v>
          </cell>
          <cell r="B12">
            <v>548</v>
          </cell>
          <cell r="C12" t="str">
            <v>Гостиница   Об.пл. 489,3 кв.м.  86  Литер А Кад№ 23:11:0603308:112</v>
          </cell>
          <cell r="D12">
            <v>25552</v>
          </cell>
          <cell r="E12">
            <v>25552</v>
          </cell>
          <cell r="F12">
            <v>3056466.07</v>
          </cell>
          <cell r="G12">
            <v>13.261762999999998</v>
          </cell>
          <cell r="H12">
            <v>40534128.637881406</v>
          </cell>
          <cell r="I12">
            <v>46.073972602739723</v>
          </cell>
          <cell r="J12" t="str">
            <v>бутовые обложены камнем</v>
          </cell>
          <cell r="K12">
            <v>0</v>
          </cell>
          <cell r="L12">
            <v>60</v>
          </cell>
          <cell r="M12">
            <v>0.76789954337899535</v>
          </cell>
          <cell r="N12">
            <v>0</v>
          </cell>
          <cell r="O12">
            <v>0</v>
          </cell>
          <cell r="P12">
            <v>0.76789954337899535</v>
          </cell>
          <cell r="Q12">
            <v>0</v>
          </cell>
          <cell r="R12">
            <v>0</v>
          </cell>
          <cell r="S12" t="str">
            <v>Не соответствует</v>
          </cell>
          <cell r="T12">
            <v>9407990</v>
          </cell>
          <cell r="U12">
            <v>19227.447373799303</v>
          </cell>
          <cell r="V12" t="e">
            <v>#DIV/0!</v>
          </cell>
          <cell r="W12" t="str">
            <v>Соответствует</v>
          </cell>
          <cell r="X12" t="str">
            <v>хорошее</v>
          </cell>
          <cell r="Y12">
            <v>0.2</v>
          </cell>
          <cell r="Z12">
            <v>32427302.910305128</v>
          </cell>
          <cell r="AA12">
            <v>66272.844697128807</v>
          </cell>
          <cell r="AB12" t="e">
            <v>#DIV/0!</v>
          </cell>
          <cell r="AC12" t="str">
            <v>Не соответствует</v>
          </cell>
          <cell r="AD12" t="str">
            <v>Не рассчитывалась</v>
          </cell>
          <cell r="AE12" t="str">
            <v>Не рассчитывалась</v>
          </cell>
          <cell r="AF12" t="e">
            <v>#VALUE!</v>
          </cell>
          <cell r="AG12">
            <v>489.3</v>
          </cell>
          <cell r="AH12" t="str">
            <v>будет использоваться</v>
          </cell>
          <cell r="AI12" t="str">
            <v>Уточнить состояние по фото</v>
          </cell>
          <cell r="AL12">
            <v>9407990</v>
          </cell>
          <cell r="AM12" t="str">
            <v>По сроку службы</v>
          </cell>
        </row>
        <row r="13">
          <cell r="A13">
            <v>11</v>
          </cell>
          <cell r="B13">
            <v>385</v>
          </cell>
          <cell r="C13" t="str">
            <v>Диспетчерская (Зд.  диспетчерской автопарка (417) АТП об.пл.29,5кв.м Литер А Кад№ 23:11:0607000:2224</v>
          </cell>
          <cell r="D13">
            <v>24091</v>
          </cell>
          <cell r="E13">
            <v>24091</v>
          </cell>
          <cell r="F13">
            <v>53949</v>
          </cell>
          <cell r="G13">
            <v>13.261762999999998</v>
          </cell>
          <cell r="H13">
            <v>715458.85208699992</v>
          </cell>
          <cell r="I13">
            <v>50.076712328767123</v>
          </cell>
          <cell r="J13" t="str">
            <v>каменные</v>
          </cell>
          <cell r="K13">
            <v>0</v>
          </cell>
          <cell r="L13">
            <v>60</v>
          </cell>
          <cell r="M13">
            <v>0.8</v>
          </cell>
          <cell r="N13">
            <v>0</v>
          </cell>
          <cell r="O13">
            <v>0</v>
          </cell>
          <cell r="P13">
            <v>0.8</v>
          </cell>
          <cell r="Q13">
            <v>33718.520000000004</v>
          </cell>
          <cell r="R13">
            <v>1143.0006779661019</v>
          </cell>
          <cell r="S13" t="str">
            <v>Не соответствует</v>
          </cell>
          <cell r="T13">
            <v>143092</v>
          </cell>
          <cell r="U13">
            <v>4850.5762711864409</v>
          </cell>
          <cell r="V13">
            <v>4.2437212546695404</v>
          </cell>
          <cell r="W13" t="str">
            <v>Соответствует</v>
          </cell>
          <cell r="X13" t="str">
            <v>удовлетворительное</v>
          </cell>
          <cell r="Y13">
            <v>0.4</v>
          </cell>
          <cell r="Z13">
            <v>429275.31125219993</v>
          </cell>
          <cell r="AA13">
            <v>14551.705466176269</v>
          </cell>
          <cell r="AB13">
            <v>12.731143337613865</v>
          </cell>
          <cell r="AC13" t="str">
            <v>Не соответствует</v>
          </cell>
          <cell r="AD13" t="str">
            <v>Не рассчитывалась</v>
          </cell>
          <cell r="AE13" t="str">
            <v>Не рассчитывалась</v>
          </cell>
          <cell r="AF13" t="e">
            <v>#VALUE!</v>
          </cell>
          <cell r="AG13">
            <v>29.5</v>
          </cell>
          <cell r="AH13" t="str">
            <v>будет использоваться</v>
          </cell>
          <cell r="AI13">
            <v>0</v>
          </cell>
          <cell r="AL13">
            <v>143092</v>
          </cell>
          <cell r="AM13" t="str">
            <v>По сроку службы</v>
          </cell>
        </row>
        <row r="14">
          <cell r="A14">
            <v>12</v>
          </cell>
          <cell r="B14" t="str">
            <v>Р00008440</v>
          </cell>
          <cell r="C14" t="str">
            <v>Диспетчерская АТП (новая)  Об.пл. 41,2 кв.м. Литер А  Кад№  000:03:220:002:000026070:0001</v>
          </cell>
          <cell r="D14">
            <v>40543</v>
          </cell>
          <cell r="E14">
            <v>40543</v>
          </cell>
          <cell r="F14">
            <v>871456.38</v>
          </cell>
          <cell r="G14">
            <v>1.4577409162717219</v>
          </cell>
          <cell r="H14">
            <v>1270357.6218720379</v>
          </cell>
          <cell r="I14">
            <v>5.0027397260273974</v>
          </cell>
          <cell r="J14" t="str">
            <v>ж/б блоки, кирпичные</v>
          </cell>
          <cell r="K14">
            <v>0</v>
          </cell>
          <cell r="L14">
            <v>60</v>
          </cell>
          <cell r="M14">
            <v>8.337899543378996E-2</v>
          </cell>
          <cell r="N14">
            <v>0</v>
          </cell>
          <cell r="O14">
            <v>0</v>
          </cell>
          <cell r="P14">
            <v>8.3378995433790015E-2</v>
          </cell>
          <cell r="Q14">
            <v>730990.5</v>
          </cell>
          <cell r="R14">
            <v>17742.48786407767</v>
          </cell>
          <cell r="S14" t="str">
            <v>Не соответствует</v>
          </cell>
          <cell r="T14">
            <v>1164436</v>
          </cell>
          <cell r="U14">
            <v>28263.009708737864</v>
          </cell>
          <cell r="V14">
            <v>1.5929564064102064</v>
          </cell>
          <cell r="W14" t="str">
            <v>Соответствует</v>
          </cell>
          <cell r="X14" t="str">
            <v>отличное</v>
          </cell>
          <cell r="Y14">
            <v>0.15</v>
          </cell>
          <cell r="Z14">
            <v>1079803.9785912321</v>
          </cell>
          <cell r="AA14">
            <v>26208.834431826021</v>
          </cell>
          <cell r="AB14">
            <v>1.4771792227002021</v>
          </cell>
          <cell r="AC14" t="str">
            <v>Соответствует</v>
          </cell>
          <cell r="AD14" t="str">
            <v>Не рассчитывалась</v>
          </cell>
          <cell r="AE14" t="str">
            <v>Не рассчитывалась</v>
          </cell>
          <cell r="AF14" t="e">
            <v>#VALUE!</v>
          </cell>
          <cell r="AG14">
            <v>41.2</v>
          </cell>
          <cell r="AH14">
            <v>0</v>
          </cell>
          <cell r="AI14" t="str">
            <v>Возможно с оборудованием? Уточнить состояние.</v>
          </cell>
          <cell r="AL14">
            <v>1079803.9785912321</v>
          </cell>
          <cell r="AM14" t="str">
            <v>Экспертно</v>
          </cell>
        </row>
        <row r="15">
          <cell r="A15">
            <v>16</v>
          </cell>
          <cell r="B15" t="str">
            <v>Р00003143</v>
          </cell>
          <cell r="C15" t="str">
            <v>Жилой дом об.S-136,1кв.м. Литер А (Бригадный дом (384) бр4) Кад№ 23:11:0702000:760</v>
          </cell>
          <cell r="D15">
            <v>32857</v>
          </cell>
          <cell r="E15">
            <v>32857</v>
          </cell>
          <cell r="F15">
            <v>620637.66</v>
          </cell>
          <cell r="G15">
            <v>13.261762999999998</v>
          </cell>
          <cell r="H15">
            <v>8230749.5557945799</v>
          </cell>
          <cell r="I15">
            <v>26.06027397260274</v>
          </cell>
          <cell r="J15" t="str">
            <v>каменные</v>
          </cell>
          <cell r="K15">
            <v>0</v>
          </cell>
          <cell r="L15">
            <v>60</v>
          </cell>
          <cell r="M15">
            <v>0.43433789954337898</v>
          </cell>
          <cell r="N15">
            <v>0</v>
          </cell>
          <cell r="O15">
            <v>0</v>
          </cell>
          <cell r="P15">
            <v>0.43433789954337898</v>
          </cell>
          <cell r="Q15">
            <v>461659.02</v>
          </cell>
          <cell r="R15">
            <v>3392.0574577516536</v>
          </cell>
          <cell r="S15" t="str">
            <v>Не соответствует</v>
          </cell>
          <cell r="T15">
            <v>4655823</v>
          </cell>
          <cell r="U15">
            <v>34208.839088905217</v>
          </cell>
          <cell r="V15">
            <v>10.084982201799068</v>
          </cell>
          <cell r="W15" t="str">
            <v>Соответствует</v>
          </cell>
          <cell r="X15" t="str">
            <v>хорошее</v>
          </cell>
          <cell r="Y15">
            <v>0.4</v>
          </cell>
          <cell r="Z15">
            <v>4938449.7334767478</v>
          </cell>
          <cell r="AA15">
            <v>36285.449915332458</v>
          </cell>
          <cell r="AB15">
            <v>10.697180212089753</v>
          </cell>
          <cell r="AC15" t="str">
            <v>Соответствует</v>
          </cell>
          <cell r="AD15" t="str">
            <v>Не рассчитывалась</v>
          </cell>
          <cell r="AE15" t="str">
            <v>Не рассчитывалась</v>
          </cell>
          <cell r="AF15" t="e">
            <v>#VALUE!</v>
          </cell>
          <cell r="AG15">
            <v>136.1</v>
          </cell>
          <cell r="AH15" t="str">
            <v>будет использоваться</v>
          </cell>
          <cell r="AI15" t="str">
            <v>Уточнить состояние по фото</v>
          </cell>
          <cell r="AL15">
            <v>4655823</v>
          </cell>
          <cell r="AM15" t="str">
            <v>По сроку службы</v>
          </cell>
        </row>
        <row r="16">
          <cell r="A16">
            <v>17</v>
          </cell>
          <cell r="B16" t="str">
            <v>Ц00003440</v>
          </cell>
          <cell r="C16" t="str">
            <v>Здание ангара Об.пл. 873,4 кв.м. Литер Б   Кад№ 23:24:0702055:22           (НП  бр 2)</v>
          </cell>
          <cell r="D16">
            <v>41935</v>
          </cell>
          <cell r="E16">
            <v>41935</v>
          </cell>
          <cell r="F16">
            <v>207630.67</v>
          </cell>
          <cell r="G16">
            <v>0.98663458968190321</v>
          </cell>
          <cell r="H16">
            <v>204855.60090082866</v>
          </cell>
          <cell r="I16">
            <v>1.189041095890411</v>
          </cell>
          <cell r="J16" t="str">
            <v>стеновые железобетонные панели</v>
          </cell>
          <cell r="K16">
            <v>0</v>
          </cell>
          <cell r="L16">
            <v>50</v>
          </cell>
          <cell r="M16">
            <v>2.3780821917808219E-2</v>
          </cell>
          <cell r="N16">
            <v>0</v>
          </cell>
          <cell r="O16">
            <v>0</v>
          </cell>
          <cell r="P16">
            <v>2.378082191780817E-2</v>
          </cell>
          <cell r="Q16">
            <v>173432.73</v>
          </cell>
          <cell r="R16">
            <v>198.57193725669799</v>
          </cell>
          <cell r="S16" t="str">
            <v>Соответствует</v>
          </cell>
          <cell r="T16">
            <v>199984</v>
          </cell>
          <cell r="U16">
            <v>228.97183421112894</v>
          </cell>
          <cell r="V16">
            <v>1.1530926140642541</v>
          </cell>
          <cell r="W16" t="str">
            <v>Соответствует</v>
          </cell>
          <cell r="X16">
            <v>0</v>
          </cell>
          <cell r="Y16">
            <v>0</v>
          </cell>
          <cell r="Z16" t="str">
            <v/>
          </cell>
          <cell r="AA16" t="str">
            <v/>
          </cell>
          <cell r="AB16" t="e">
            <v>#VALUE!</v>
          </cell>
          <cell r="AC16" t="str">
            <v>Не рассчитывалась</v>
          </cell>
          <cell r="AD16" t="str">
            <v>Не рассчитывалась</v>
          </cell>
          <cell r="AE16" t="str">
            <v>Не рассчитывалась</v>
          </cell>
          <cell r="AF16" t="e">
            <v>#VALUE!</v>
          </cell>
          <cell r="AG16">
            <v>873.4</v>
          </cell>
          <cell r="AH16">
            <v>0</v>
          </cell>
          <cell r="AI16" t="str">
            <v>Уточнить состояние по фото</v>
          </cell>
          <cell r="AJ16" t="str">
            <v>Фото не предоставлено. Уточнить состояние. Чем обусловлена столь низкая балансовая стоимость 207 тыс. руб. за новый ж/б объект площадью 873 кв. м?</v>
          </cell>
          <cell r="AK16">
            <v>1</v>
          </cell>
          <cell r="AL16">
            <v>199984</v>
          </cell>
          <cell r="AM16" t="str">
            <v>По сроку службы</v>
          </cell>
        </row>
        <row r="17">
          <cell r="A17">
            <v>18</v>
          </cell>
          <cell r="B17" t="str">
            <v>Ц00001723</v>
          </cell>
          <cell r="C17" t="str">
            <v>Здание весовой   Об.пл. 18кв.м. Литер В Кад№ 23:11:0902000:306  (КС МТФ№1мельница)</v>
          </cell>
          <cell r="D17">
            <v>41929</v>
          </cell>
          <cell r="E17">
            <v>41929</v>
          </cell>
          <cell r="F17">
            <v>1094062.3999999999</v>
          </cell>
          <cell r="G17">
            <v>0.98663458968190321</v>
          </cell>
          <cell r="H17">
            <v>1079439.8071103981</v>
          </cell>
          <cell r="I17">
            <v>1.2054794520547945</v>
          </cell>
          <cell r="J17" t="str">
            <v>металлические</v>
          </cell>
          <cell r="K17">
            <v>0</v>
          </cell>
          <cell r="L17">
            <v>35</v>
          </cell>
          <cell r="M17">
            <v>3.444227005870841E-2</v>
          </cell>
          <cell r="N17">
            <v>0</v>
          </cell>
          <cell r="O17">
            <v>0</v>
          </cell>
          <cell r="P17">
            <v>3.4442270058708369E-2</v>
          </cell>
          <cell r="Q17">
            <v>967476.6399999999</v>
          </cell>
          <cell r="R17">
            <v>53748.702222222215</v>
          </cell>
          <cell r="S17" t="str">
            <v>Соответствует</v>
          </cell>
          <cell r="T17">
            <v>1042261</v>
          </cell>
          <cell r="U17">
            <v>57903.388888888891</v>
          </cell>
          <cell r="V17">
            <v>1.0772983624700232</v>
          </cell>
          <cell r="W17" t="str">
            <v>Соответствует</v>
          </cell>
          <cell r="X17" t="str">
            <v>отличное</v>
          </cell>
          <cell r="Y17">
            <v>0.1</v>
          </cell>
          <cell r="Z17">
            <v>971495.82639935834</v>
          </cell>
          <cell r="AA17">
            <v>53971.990355519905</v>
          </cell>
          <cell r="AB17">
            <v>1.0041542981330882</v>
          </cell>
          <cell r="AC17" t="str">
            <v>Соответствует</v>
          </cell>
          <cell r="AD17" t="str">
            <v>Не рассчитывалась</v>
          </cell>
          <cell r="AE17" t="str">
            <v>Не рассчитывалась</v>
          </cell>
          <cell r="AF17" t="e">
            <v>#VALUE!</v>
          </cell>
          <cell r="AG17">
            <v>18</v>
          </cell>
          <cell r="AH17">
            <v>0</v>
          </cell>
          <cell r="AI17" t="str">
            <v>Возможно с оборудованием?</v>
          </cell>
          <cell r="AL17">
            <v>971495.82639935834</v>
          </cell>
          <cell r="AM17" t="str">
            <v>Экспертно</v>
          </cell>
        </row>
        <row r="18">
          <cell r="A18">
            <v>19</v>
          </cell>
          <cell r="B18" t="str">
            <v>Ц00002247</v>
          </cell>
          <cell r="C18" t="str">
            <v>Здание весовой Об.пл. 32,3кв.м. Литер Г Кад№ 23:24:0701000:738  (НП  МТФ№3)</v>
          </cell>
          <cell r="D18">
            <v>41934</v>
          </cell>
          <cell r="E18">
            <v>41934</v>
          </cell>
          <cell r="F18">
            <v>1522.72</v>
          </cell>
          <cell r="G18">
            <v>0.98663458968190321</v>
          </cell>
          <cell r="H18">
            <v>1502.3682224004276</v>
          </cell>
          <cell r="I18">
            <v>1.1917808219178083</v>
          </cell>
          <cell r="J18" t="str">
            <v>кирпичные</v>
          </cell>
          <cell r="K18">
            <v>0</v>
          </cell>
          <cell r="L18">
            <v>60</v>
          </cell>
          <cell r="M18">
            <v>1.9863013698630139E-2</v>
          </cell>
          <cell r="N18">
            <v>0</v>
          </cell>
          <cell r="O18">
            <v>0</v>
          </cell>
          <cell r="P18">
            <v>1.9863013698630194E-2</v>
          </cell>
          <cell r="Q18">
            <v>1451.88</v>
          </cell>
          <cell r="R18">
            <v>44.949845201238396</v>
          </cell>
          <cell r="S18" t="str">
            <v>Не соответствует</v>
          </cell>
          <cell r="T18">
            <v>1473</v>
          </cell>
          <cell r="U18">
            <v>45.60371517027864</v>
          </cell>
          <cell r="V18">
            <v>1.0145466567484915</v>
          </cell>
          <cell r="W18" t="str">
            <v>Не соответствует</v>
          </cell>
          <cell r="X18" t="str">
            <v>под снос</v>
          </cell>
          <cell r="Y18">
            <v>0.8</v>
          </cell>
          <cell r="Z18">
            <v>300.47364448008545</v>
          </cell>
          <cell r="AA18">
            <v>9.3025896123865479</v>
          </cell>
          <cell r="AB18">
            <v>0.20695487538920945</v>
          </cell>
          <cell r="AC18" t="str">
            <v>Соответствует</v>
          </cell>
          <cell r="AD18" t="str">
            <v>Не рассчитывалась</v>
          </cell>
          <cell r="AE18" t="str">
            <v>Не рассчитывалась</v>
          </cell>
          <cell r="AF18" t="e">
            <v>#VALUE!</v>
          </cell>
          <cell r="AG18">
            <v>32.299999999999997</v>
          </cell>
          <cell r="AH18">
            <v>0</v>
          </cell>
          <cell r="AI18" t="str">
            <v>Уточнить состояние по фото</v>
          </cell>
          <cell r="AJ18" t="str">
            <v>Дальнейшая эксплуатация и реконструкция нецелесообразны. Затраты на снос сопоставимы со стоимостью годных остатков.</v>
          </cell>
          <cell r="AL18">
            <v>300.47364448008545</v>
          </cell>
          <cell r="AM18" t="str">
            <v>Экспертно</v>
          </cell>
        </row>
        <row r="19">
          <cell r="A19">
            <v>20</v>
          </cell>
          <cell r="B19" t="str">
            <v>Ц00002238</v>
          </cell>
          <cell r="C19" t="str">
            <v>Здание ветамбулатории  Об.пл.373,1кв.м. Литер В Кад№ 23:24:0701000:713   (НП  МТФ№3)</v>
          </cell>
          <cell r="D19">
            <v>41934</v>
          </cell>
          <cell r="E19">
            <v>41934</v>
          </cell>
          <cell r="F19">
            <v>49737.39</v>
          </cell>
          <cell r="G19">
            <v>0.98663458968190321</v>
          </cell>
          <cell r="H19">
            <v>49072.629374498792</v>
          </cell>
          <cell r="I19">
            <v>1.1917808219178083</v>
          </cell>
          <cell r="J19" t="str">
            <v>кирпичные</v>
          </cell>
          <cell r="K19">
            <v>0</v>
          </cell>
          <cell r="L19">
            <v>60</v>
          </cell>
          <cell r="M19">
            <v>1.9863013698630139E-2</v>
          </cell>
          <cell r="N19">
            <v>0</v>
          </cell>
          <cell r="O19">
            <v>0</v>
          </cell>
          <cell r="P19">
            <v>1.9863013698630194E-2</v>
          </cell>
          <cell r="Q19">
            <v>30917.89</v>
          </cell>
          <cell r="R19">
            <v>82.867569016349492</v>
          </cell>
          <cell r="S19" t="str">
            <v>Соответствует</v>
          </cell>
          <cell r="T19">
            <v>48098</v>
          </cell>
          <cell r="U19">
            <v>128.91450013401231</v>
          </cell>
          <cell r="V19">
            <v>1.5556689023733508</v>
          </cell>
          <cell r="W19" t="str">
            <v>Соответствует</v>
          </cell>
          <cell r="X19" t="str">
            <v>удовлетворительное</v>
          </cell>
          <cell r="Y19">
            <v>0.4</v>
          </cell>
          <cell r="Z19">
            <v>29443.577624699275</v>
          </cell>
          <cell r="AA19">
            <v>78.916048310638629</v>
          </cell>
          <cell r="AB19">
            <v>0.95231523317727296</v>
          </cell>
          <cell r="AC19" t="str">
            <v>Соответствует</v>
          </cell>
          <cell r="AD19" t="str">
            <v>Не рассчитывалась</v>
          </cell>
          <cell r="AE19" t="str">
            <v>Не рассчитывалась</v>
          </cell>
          <cell r="AF19" t="e">
            <v>#VALUE!</v>
          </cell>
          <cell r="AG19">
            <v>373.1</v>
          </cell>
          <cell r="AH19">
            <v>0</v>
          </cell>
          <cell r="AI19" t="str">
            <v>Уточнить состояние по фото</v>
          </cell>
          <cell r="AJ19" t="str">
            <v>Чем обусловлена столь низкая балансовая стоимость 49 тыс. руб. за кирпичный объект площадью 373 кв. м?</v>
          </cell>
          <cell r="AK19">
            <v>1</v>
          </cell>
          <cell r="AL19">
            <v>29443.577624699275</v>
          </cell>
          <cell r="AM19" t="str">
            <v>Экспертно</v>
          </cell>
        </row>
        <row r="20">
          <cell r="A20">
            <v>21</v>
          </cell>
          <cell r="B20" t="str">
            <v>Ц00002237</v>
          </cell>
          <cell r="C20" t="str">
            <v>Здание газовой котельной Об.пл.165,7кв.м. Литер Б Кад№ 23:24:0701000:736   (НП  МТФ№3)</v>
          </cell>
          <cell r="D20">
            <v>41934</v>
          </cell>
          <cell r="E20">
            <v>41934</v>
          </cell>
          <cell r="F20">
            <v>79106.14</v>
          </cell>
          <cell r="G20">
            <v>0.98663458968190321</v>
          </cell>
          <cell r="H20">
            <v>78048.853980219195</v>
          </cell>
          <cell r="I20">
            <v>1.1917808219178083</v>
          </cell>
          <cell r="J20" t="str">
            <v>кирпичные</v>
          </cell>
          <cell r="K20">
            <v>0</v>
          </cell>
          <cell r="L20">
            <v>60</v>
          </cell>
          <cell r="M20">
            <v>1.9863013698630139E-2</v>
          </cell>
          <cell r="N20">
            <v>0</v>
          </cell>
          <cell r="O20">
            <v>0</v>
          </cell>
          <cell r="P20">
            <v>1.9863013698630194E-2</v>
          </cell>
          <cell r="Q20">
            <v>49174.14</v>
          </cell>
          <cell r="R20">
            <v>296.76608328304167</v>
          </cell>
          <cell r="S20" t="str">
            <v>Соответствует</v>
          </cell>
          <cell r="T20">
            <v>76499</v>
          </cell>
          <cell r="U20">
            <v>461.67169583584797</v>
          </cell>
          <cell r="V20">
            <v>1.5556754017457144</v>
          </cell>
          <cell r="W20" t="str">
            <v>Соответствует</v>
          </cell>
          <cell r="X20" t="str">
            <v>удовлетворительное</v>
          </cell>
          <cell r="Y20">
            <v>0.4</v>
          </cell>
          <cell r="Z20">
            <v>46829.312388131519</v>
          </cell>
          <cell r="AA20">
            <v>282.61504156989452</v>
          </cell>
          <cell r="AB20">
            <v>0.95231583893752936</v>
          </cell>
          <cell r="AC20" t="str">
            <v>Соответствует</v>
          </cell>
          <cell r="AD20" t="str">
            <v>Не рассчитывалась</v>
          </cell>
          <cell r="AE20" t="str">
            <v>Не рассчитывалась</v>
          </cell>
          <cell r="AF20" t="e">
            <v>#VALUE!</v>
          </cell>
          <cell r="AG20">
            <v>165.7</v>
          </cell>
          <cell r="AH20">
            <v>0</v>
          </cell>
          <cell r="AI20" t="str">
            <v>Уточнить состояние по фото</v>
          </cell>
          <cell r="AJ20" t="str">
            <v>Чем обусловлена столь низкая балансовая стоимость 79 тыс. руб. за кирпичный объект площадью 165 кв. м?</v>
          </cell>
          <cell r="AK20">
            <v>1</v>
          </cell>
          <cell r="AL20">
            <v>46829.312388131519</v>
          </cell>
          <cell r="AM20" t="str">
            <v>Экспертно</v>
          </cell>
        </row>
        <row r="21">
          <cell r="A21">
            <v>22</v>
          </cell>
          <cell r="B21">
            <v>426</v>
          </cell>
          <cell r="C21" t="str">
            <v xml:space="preserve">Здание инкубатора Об.пл. 239,5 кв.м.   Литер Б,Б1  Кад№ 23:11:0603308:78 </v>
          </cell>
          <cell r="D21">
            <v>37605</v>
          </cell>
          <cell r="E21">
            <v>37605</v>
          </cell>
          <cell r="F21">
            <v>180286.92</v>
          </cell>
          <cell r="G21">
            <v>4.5511713933415532</v>
          </cell>
          <cell r="H21">
            <v>820516.67289765715</v>
          </cell>
          <cell r="I21">
            <v>13.052054794520547</v>
          </cell>
          <cell r="J21" t="str">
            <v>каменные</v>
          </cell>
          <cell r="K21">
            <v>0</v>
          </cell>
          <cell r="L21">
            <v>60</v>
          </cell>
          <cell r="M21">
            <v>0.21753424657534245</v>
          </cell>
          <cell r="N21">
            <v>0</v>
          </cell>
          <cell r="O21">
            <v>0</v>
          </cell>
          <cell r="P21">
            <v>0.21753424657534248</v>
          </cell>
          <cell r="Q21">
            <v>131211.62</v>
          </cell>
          <cell r="R21">
            <v>547.8564509394572</v>
          </cell>
          <cell r="S21" t="str">
            <v>Не соответствует</v>
          </cell>
          <cell r="T21">
            <v>642026</v>
          </cell>
          <cell r="U21">
            <v>2680.6931106471816</v>
          </cell>
          <cell r="V21">
            <v>4.8930574898778021</v>
          </cell>
          <cell r="W21" t="str">
            <v>Соответствует</v>
          </cell>
          <cell r="X21" t="str">
            <v>удовлетворительное</v>
          </cell>
          <cell r="Y21">
            <v>0.4</v>
          </cell>
          <cell r="Z21">
            <v>492310.00373859424</v>
          </cell>
          <cell r="AA21">
            <v>2055.574128344861</v>
          </cell>
          <cell r="AB21">
            <v>3.7520305270112071</v>
          </cell>
          <cell r="AC21" t="str">
            <v>Соответствует</v>
          </cell>
          <cell r="AD21" t="str">
            <v>Не рассчитывалась</v>
          </cell>
          <cell r="AE21" t="str">
            <v>Не рассчитывалась</v>
          </cell>
          <cell r="AF21" t="e">
            <v>#VALUE!</v>
          </cell>
          <cell r="AG21">
            <v>239.5</v>
          </cell>
          <cell r="AH21" t="str">
            <v>не будет использоваться</v>
          </cell>
          <cell r="AI21">
            <v>0</v>
          </cell>
          <cell r="AL21">
            <v>0</v>
          </cell>
          <cell r="AM21" t="str">
            <v>Не рассчитывалась</v>
          </cell>
        </row>
        <row r="22">
          <cell r="A22">
            <v>25</v>
          </cell>
          <cell r="B22" t="str">
            <v>Ц00002243</v>
          </cell>
          <cell r="C22" t="str">
            <v>Здание насосной Об.пл. 18,7кв.м. ЛитерГ1 Кад№ 23:24:0701000:734  (НП  МТФ№3)</v>
          </cell>
          <cell r="D22">
            <v>41934</v>
          </cell>
          <cell r="E22">
            <v>41934</v>
          </cell>
          <cell r="F22">
            <v>101.66</v>
          </cell>
          <cell r="G22">
            <v>0.98663458968190321</v>
          </cell>
          <cell r="H22">
            <v>100.30127238706228</v>
          </cell>
          <cell r="I22">
            <v>1.1917808219178083</v>
          </cell>
          <cell r="J22" t="str">
            <v>кирпичные</v>
          </cell>
          <cell r="K22">
            <v>0</v>
          </cell>
          <cell r="L22">
            <v>60</v>
          </cell>
          <cell r="M22">
            <v>1.9863013698630139E-2</v>
          </cell>
          <cell r="N22">
            <v>0</v>
          </cell>
          <cell r="O22">
            <v>0</v>
          </cell>
          <cell r="P22">
            <v>1.9863013698630194E-2</v>
          </cell>
          <cell r="Q22">
            <v>0</v>
          </cell>
          <cell r="R22">
            <v>0</v>
          </cell>
          <cell r="S22" t="str">
            <v>Соответствует</v>
          </cell>
          <cell r="T22">
            <v>98</v>
          </cell>
          <cell r="U22">
            <v>5.240641711229947</v>
          </cell>
          <cell r="V22" t="e">
            <v>#DIV/0!</v>
          </cell>
          <cell r="W22" t="str">
            <v>Соответствует</v>
          </cell>
          <cell r="X22" t="str">
            <v>неудовлетворительное</v>
          </cell>
          <cell r="Y22">
            <v>0.8</v>
          </cell>
          <cell r="Z22">
            <v>20.060254477412453</v>
          </cell>
          <cell r="AA22">
            <v>1.072740881145051</v>
          </cell>
          <cell r="AB22" t="e">
            <v>#DIV/0!</v>
          </cell>
          <cell r="AC22" t="str">
            <v>Соответствует</v>
          </cell>
          <cell r="AD22" t="str">
            <v>Не рассчитывалась</v>
          </cell>
          <cell r="AE22" t="str">
            <v>Не рассчитывалась</v>
          </cell>
          <cell r="AF22" t="e">
            <v>#VALUE!</v>
          </cell>
          <cell r="AG22">
            <v>18.7</v>
          </cell>
          <cell r="AH22" t="str">
            <v>будет использоваться</v>
          </cell>
          <cell r="AI22" t="str">
            <v>Уточнить состояние по фото</v>
          </cell>
          <cell r="AJ22" t="str">
            <v>Затраты на реконструкцию сопоставимы со стоимостью нового строительства.</v>
          </cell>
          <cell r="AL22">
            <v>20.060254477412453</v>
          </cell>
          <cell r="AM22" t="str">
            <v>Экспертно</v>
          </cell>
        </row>
        <row r="23">
          <cell r="A23">
            <v>26</v>
          </cell>
          <cell r="B23">
            <v>319</v>
          </cell>
          <cell r="C23" t="str">
            <v>Здание нежилое об.S-629,5кв.м.  (Корпус ОТФ(456) бр3 Литер В) Кад№ 23:11:0702000:863</v>
          </cell>
          <cell r="D23">
            <v>23360</v>
          </cell>
          <cell r="E23">
            <v>23360</v>
          </cell>
          <cell r="F23">
            <v>114623</v>
          </cell>
          <cell r="G23">
            <v>13.261762999999998</v>
          </cell>
          <cell r="H23">
            <v>1520103.0603489999</v>
          </cell>
          <cell r="I23">
            <v>52.079452054794523</v>
          </cell>
          <cell r="J23" t="str">
            <v>каменные</v>
          </cell>
          <cell r="K23">
            <v>0</v>
          </cell>
          <cell r="L23">
            <v>60</v>
          </cell>
          <cell r="M23">
            <v>0.8</v>
          </cell>
          <cell r="N23">
            <v>0</v>
          </cell>
          <cell r="O23">
            <v>0</v>
          </cell>
          <cell r="P23">
            <v>0.8</v>
          </cell>
          <cell r="Q23">
            <v>0</v>
          </cell>
          <cell r="R23">
            <v>0</v>
          </cell>
          <cell r="S23" t="str">
            <v>Не соответствует</v>
          </cell>
          <cell r="T23">
            <v>304021</v>
          </cell>
          <cell r="U23">
            <v>482.95631453534548</v>
          </cell>
          <cell r="V23" t="e">
            <v>#DIV/0!</v>
          </cell>
          <cell r="W23" t="str">
            <v>Соответствует</v>
          </cell>
          <cell r="X23" t="str">
            <v>неудовлетворительное</v>
          </cell>
          <cell r="Y23">
            <v>0.6</v>
          </cell>
          <cell r="Z23">
            <v>608041.22413959994</v>
          </cell>
          <cell r="AA23">
            <v>965.91139656806979</v>
          </cell>
          <cell r="AB23" t="e">
            <v>#DIV/0!</v>
          </cell>
          <cell r="AC23" t="str">
            <v>Не соответствует</v>
          </cell>
          <cell r="AD23" t="str">
            <v>Не рассчитывалась</v>
          </cell>
          <cell r="AE23" t="str">
            <v>Не рассчитывалась</v>
          </cell>
          <cell r="AF23" t="e">
            <v>#VALUE!</v>
          </cell>
          <cell r="AG23">
            <v>629.5</v>
          </cell>
          <cell r="AH23" t="str">
            <v>не будет использоваться</v>
          </cell>
          <cell r="AI23" t="str">
            <v>Уточнить состояние по фото</v>
          </cell>
          <cell r="AL23">
            <v>0</v>
          </cell>
          <cell r="AM23" t="str">
            <v>Не рассчитывалась</v>
          </cell>
        </row>
        <row r="24">
          <cell r="A24">
            <v>27</v>
          </cell>
          <cell r="B24" t="str">
            <v>Ц00001323</v>
          </cell>
          <cell r="C24" t="str">
            <v>Здание нежилое Об.пл. 1086,1 кв.м. Литер С  Кад№ 23:11:0902000:274 (Сенохранилище №2)  (КС  МТФ№1)</v>
          </cell>
          <cell r="D24">
            <v>41898</v>
          </cell>
          <cell r="E24">
            <v>41898</v>
          </cell>
          <cell r="F24">
            <v>1246866.43</v>
          </cell>
          <cell r="G24">
            <v>0.98151841510437443</v>
          </cell>
          <cell r="H24">
            <v>1223822.3622204494</v>
          </cell>
          <cell r="I24">
            <v>1.2904109589041095</v>
          </cell>
          <cell r="J24" t="str">
            <v>металлические</v>
          </cell>
          <cell r="K24">
            <v>0</v>
          </cell>
          <cell r="L24">
            <v>35</v>
          </cell>
          <cell r="M24">
            <v>3.6868884540117414E-2</v>
          </cell>
          <cell r="N24">
            <v>0</v>
          </cell>
          <cell r="O24">
            <v>0</v>
          </cell>
          <cell r="P24">
            <v>3.6868884540117386E-2</v>
          </cell>
          <cell r="Q24">
            <v>1026831.1299999999</v>
          </cell>
          <cell r="R24">
            <v>945.42963815486598</v>
          </cell>
          <cell r="S24" t="str">
            <v>Соответствует</v>
          </cell>
          <cell r="T24">
            <v>1178701</v>
          </cell>
          <cell r="U24">
            <v>1085.2601049627108</v>
          </cell>
          <cell r="V24">
            <v>1.1479015054792896</v>
          </cell>
          <cell r="W24" t="str">
            <v>Соответствует</v>
          </cell>
          <cell r="X24">
            <v>0</v>
          </cell>
          <cell r="Y24">
            <v>0</v>
          </cell>
          <cell r="Z24" t="str">
            <v/>
          </cell>
          <cell r="AA24" t="str">
            <v/>
          </cell>
          <cell r="AB24" t="e">
            <v>#VALUE!</v>
          </cell>
          <cell r="AC24" t="str">
            <v>Не рассчитывалась</v>
          </cell>
          <cell r="AD24" t="str">
            <v>Не рассчитывалась</v>
          </cell>
          <cell r="AE24" t="str">
            <v>Не рассчитывалась</v>
          </cell>
          <cell r="AF24" t="e">
            <v>#VALUE!</v>
          </cell>
          <cell r="AG24">
            <v>1086.0999999999999</v>
          </cell>
          <cell r="AH24">
            <v>0</v>
          </cell>
          <cell r="AI24">
            <v>0</v>
          </cell>
          <cell r="AJ24" t="str">
            <v>Фото не предоставлено. Поскольку РС соответствует ОС, принимаем допущение о правильности расчета по сроку службы.</v>
          </cell>
          <cell r="AL24">
            <v>1178701</v>
          </cell>
          <cell r="AM24" t="str">
            <v>По сроку службы</v>
          </cell>
        </row>
        <row r="25">
          <cell r="A25">
            <v>28</v>
          </cell>
          <cell r="B25" t="str">
            <v>Ц00001322</v>
          </cell>
          <cell r="C25" t="str">
            <v>Здание нежилое Об.пл. 1095,1 кв.м. Литер Р Кад№ 23:11:0902000:277 (Сенохранилище №1 )  (КС  МТФ№1)</v>
          </cell>
          <cell r="D25">
            <v>41898</v>
          </cell>
          <cell r="E25">
            <v>41898</v>
          </cell>
          <cell r="F25">
            <v>1725954.07</v>
          </cell>
          <cell r="G25">
            <v>0.98151841510437443</v>
          </cell>
          <cell r="H25">
            <v>1694055.7033293445</v>
          </cell>
          <cell r="I25">
            <v>1.2904109589041095</v>
          </cell>
          <cell r="J25" t="str">
            <v>металлические</v>
          </cell>
          <cell r="K25">
            <v>0</v>
          </cell>
          <cell r="L25">
            <v>35</v>
          </cell>
          <cell r="M25">
            <v>3.6868884540117414E-2</v>
          </cell>
          <cell r="N25">
            <v>0</v>
          </cell>
          <cell r="O25">
            <v>0</v>
          </cell>
          <cell r="P25">
            <v>3.6868884540117386E-2</v>
          </cell>
          <cell r="Q25">
            <v>1421373.9700000002</v>
          </cell>
          <cell r="R25">
            <v>1297.9398867683319</v>
          </cell>
          <cell r="S25" t="str">
            <v>Соответствует</v>
          </cell>
          <cell r="T25">
            <v>1631598</v>
          </cell>
          <cell r="U25">
            <v>1489.9077709798194</v>
          </cell>
          <cell r="V25">
            <v>1.1479019838811315</v>
          </cell>
          <cell r="W25" t="str">
            <v>Соответствует</v>
          </cell>
          <cell r="X25">
            <v>0</v>
          </cell>
          <cell r="Y25">
            <v>0</v>
          </cell>
          <cell r="Z25" t="str">
            <v/>
          </cell>
          <cell r="AA25" t="str">
            <v/>
          </cell>
          <cell r="AB25" t="e">
            <v>#VALUE!</v>
          </cell>
          <cell r="AC25" t="str">
            <v>Не рассчитывалась</v>
          </cell>
          <cell r="AD25" t="str">
            <v>Не рассчитывалась</v>
          </cell>
          <cell r="AE25" t="str">
            <v>Не рассчитывалась</v>
          </cell>
          <cell r="AF25" t="e">
            <v>#VALUE!</v>
          </cell>
          <cell r="AG25">
            <v>1095.0999999999999</v>
          </cell>
          <cell r="AH25">
            <v>0</v>
          </cell>
          <cell r="AI25">
            <v>0</v>
          </cell>
          <cell r="AJ25" t="str">
            <v>Фото не предоставлено. Поскольку РС соответствует ОС, принимаем допущение о правильности расчета по сроку службы.</v>
          </cell>
          <cell r="AL25">
            <v>1631598</v>
          </cell>
          <cell r="AM25" t="str">
            <v>По сроку службы</v>
          </cell>
        </row>
        <row r="26">
          <cell r="A26">
            <v>36</v>
          </cell>
          <cell r="B26" t="str">
            <v>Ц00001309</v>
          </cell>
          <cell r="C26" t="str">
            <v xml:space="preserve">Здание нежилое Об.пл. 2216,9 кв.м. Литер В Кад№ 23:11:0607000:336 (Коровник №2)  (КС  МТФ№1) </v>
          </cell>
          <cell r="D26">
            <v>41898</v>
          </cell>
          <cell r="E26">
            <v>41898</v>
          </cell>
          <cell r="F26">
            <v>1144606.78</v>
          </cell>
          <cell r="G26">
            <v>0.98151841510437443</v>
          </cell>
          <cell r="H26">
            <v>1123452.6326233214</v>
          </cell>
          <cell r="I26">
            <v>1.2904109589041095</v>
          </cell>
          <cell r="J26" t="str">
            <v>ж/б панели</v>
          </cell>
          <cell r="K26">
            <v>0</v>
          </cell>
          <cell r="L26">
            <v>50</v>
          </cell>
          <cell r="M26">
            <v>2.5808219178082192E-2</v>
          </cell>
          <cell r="N26">
            <v>0</v>
          </cell>
          <cell r="O26">
            <v>0</v>
          </cell>
          <cell r="P26">
            <v>2.5808219178082181E-2</v>
          </cell>
          <cell r="Q26">
            <v>1049749.93</v>
          </cell>
          <cell r="R26">
            <v>473.5215526185213</v>
          </cell>
          <cell r="S26" t="str">
            <v>Соответствует</v>
          </cell>
          <cell r="T26">
            <v>1094458</v>
          </cell>
          <cell r="U26">
            <v>493.68848391898592</v>
          </cell>
          <cell r="V26">
            <v>1.0425892574243849</v>
          </cell>
          <cell r="W26" t="str">
            <v>Соответствует</v>
          </cell>
          <cell r="X26" t="str">
            <v>хорошее</v>
          </cell>
          <cell r="Y26">
            <v>0.2</v>
          </cell>
          <cell r="Z26">
            <v>898762.10609865712</v>
          </cell>
          <cell r="AA26">
            <v>405.41391406858997</v>
          </cell>
          <cell r="AB26">
            <v>0.85616781712827283</v>
          </cell>
          <cell r="AC26" t="str">
            <v>Соответствует</v>
          </cell>
          <cell r="AD26" t="str">
            <v>Не рассчитывалась</v>
          </cell>
          <cell r="AE26" t="str">
            <v>Не рассчитывалась</v>
          </cell>
          <cell r="AF26" t="e">
            <v>#VALUE!</v>
          </cell>
          <cell r="AG26">
            <v>2216.9</v>
          </cell>
          <cell r="AH26">
            <v>0</v>
          </cell>
          <cell r="AI26" t="str">
            <v>Уточнить состояние по фото</v>
          </cell>
          <cell r="AJ26" t="str">
            <v>Чем обусловлена столь низкая балансовая стоимость 1 144 тыс. руб. за кирпичный объект площадью 2216 кв. м?</v>
          </cell>
          <cell r="AK26">
            <v>1</v>
          </cell>
          <cell r="AL26">
            <v>1094458</v>
          </cell>
          <cell r="AM26" t="str">
            <v>По сроку службы</v>
          </cell>
        </row>
        <row r="27">
          <cell r="A27">
            <v>37</v>
          </cell>
          <cell r="B27" t="str">
            <v>Ц00001312</v>
          </cell>
          <cell r="C27" t="str">
            <v>Здание нежилое Об.пл. 2339,8 кв.м.  Литер Д Кад№ 23:11:0902000:337 (Коровник №3)  (КС  МТФ№1)</v>
          </cell>
          <cell r="D27">
            <v>41898</v>
          </cell>
          <cell r="E27">
            <v>41898</v>
          </cell>
          <cell r="F27">
            <v>2498541.6</v>
          </cell>
          <cell r="G27">
            <v>0.98151841510437443</v>
          </cell>
          <cell r="H27">
            <v>2452364.5913043479</v>
          </cell>
          <cell r="I27">
            <v>1.2904109589041095</v>
          </cell>
          <cell r="J27" t="str">
            <v>кирпичные</v>
          </cell>
          <cell r="K27">
            <v>0</v>
          </cell>
          <cell r="L27">
            <v>60</v>
          </cell>
          <cell r="M27">
            <v>2.150684931506849E-2</v>
          </cell>
          <cell r="N27">
            <v>0</v>
          </cell>
          <cell r="O27">
            <v>0</v>
          </cell>
          <cell r="P27">
            <v>2.1506849315068521E-2</v>
          </cell>
          <cell r="Q27">
            <v>2291480.1</v>
          </cell>
          <cell r="R27">
            <v>979.34870501752278</v>
          </cell>
          <cell r="S27" t="str">
            <v>Соответствует</v>
          </cell>
          <cell r="T27">
            <v>2399622</v>
          </cell>
          <cell r="U27">
            <v>1025.5671424908112</v>
          </cell>
          <cell r="V27">
            <v>1.0471930347551348</v>
          </cell>
          <cell r="W27" t="str">
            <v>Соответствует</v>
          </cell>
          <cell r="X27" t="str">
            <v>хорошее</v>
          </cell>
          <cell r="Y27">
            <v>0.3</v>
          </cell>
          <cell r="Z27">
            <v>1716655.2139130435</v>
          </cell>
          <cell r="AA27">
            <v>733.67604663349152</v>
          </cell>
          <cell r="AB27">
            <v>0.74914690025588415</v>
          </cell>
          <cell r="AC27" t="str">
            <v>Соответствует</v>
          </cell>
          <cell r="AD27" t="str">
            <v>Не рассчитывалась</v>
          </cell>
          <cell r="AE27" t="str">
            <v>Не рассчитывалась</v>
          </cell>
          <cell r="AF27" t="e">
            <v>#VALUE!</v>
          </cell>
          <cell r="AG27">
            <v>2339.8000000000002</v>
          </cell>
          <cell r="AH27">
            <v>0</v>
          </cell>
          <cell r="AI27">
            <v>0</v>
          </cell>
          <cell r="AJ27" t="str">
            <v>Чем обусловлена столь низкая балансовая стоимость 2 498 тыс. руб. за кирпичный объект площадью 2340 кв. м?</v>
          </cell>
          <cell r="AK27">
            <v>1</v>
          </cell>
          <cell r="AL27">
            <v>2399622</v>
          </cell>
          <cell r="AM27" t="str">
            <v>По сроку службы</v>
          </cell>
        </row>
        <row r="28">
          <cell r="A28">
            <v>38</v>
          </cell>
          <cell r="B28" t="str">
            <v>Ц00001315</v>
          </cell>
          <cell r="C28" t="str">
            <v>Здание нежилое Об.пл. 2360,3 кв.м. Литер Е Кад№ 23:11:0902000:295  (Коровник №4)  (КС  МТФ№1)</v>
          </cell>
          <cell r="D28">
            <v>41898</v>
          </cell>
          <cell r="E28">
            <v>41898</v>
          </cell>
          <cell r="F28">
            <v>841983.9</v>
          </cell>
          <cell r="G28">
            <v>0.98151841510437443</v>
          </cell>
          <cell r="H28">
            <v>826422.70307140006</v>
          </cell>
          <cell r="I28">
            <v>1.2904109589041095</v>
          </cell>
          <cell r="J28" t="str">
            <v>кирпичные</v>
          </cell>
          <cell r="K28">
            <v>0</v>
          </cell>
          <cell r="L28">
            <v>60</v>
          </cell>
          <cell r="M28">
            <v>2.150684931506849E-2</v>
          </cell>
          <cell r="N28">
            <v>0</v>
          </cell>
          <cell r="O28">
            <v>0</v>
          </cell>
          <cell r="P28">
            <v>2.1506849315068521E-2</v>
          </cell>
          <cell r="Q28">
            <v>772206.3</v>
          </cell>
          <cell r="R28">
            <v>327.16447061814176</v>
          </cell>
          <cell r="S28" t="str">
            <v>Соответствует</v>
          </cell>
          <cell r="T28">
            <v>808649</v>
          </cell>
          <cell r="U28">
            <v>342.60432995805616</v>
          </cell>
          <cell r="V28">
            <v>1.0471929586692053</v>
          </cell>
          <cell r="W28" t="str">
            <v>Соответствует</v>
          </cell>
          <cell r="X28" t="str">
            <v>хорошее</v>
          </cell>
          <cell r="Y28">
            <v>0.3</v>
          </cell>
          <cell r="Z28">
            <v>578495.89214997995</v>
          </cell>
          <cell r="AA28">
            <v>245.09422198448499</v>
          </cell>
          <cell r="AB28">
            <v>0.74914681756673041</v>
          </cell>
          <cell r="AC28" t="str">
            <v>Соответствует</v>
          </cell>
          <cell r="AD28" t="str">
            <v>Не рассчитывалась</v>
          </cell>
          <cell r="AE28" t="str">
            <v>Не рассчитывалась</v>
          </cell>
          <cell r="AF28" t="e">
            <v>#VALUE!</v>
          </cell>
          <cell r="AG28">
            <v>2360.3000000000002</v>
          </cell>
          <cell r="AH28">
            <v>0</v>
          </cell>
          <cell r="AI28" t="str">
            <v>Уточнить состояние по фото</v>
          </cell>
          <cell r="AJ28" t="str">
            <v>Чем обусловлена столь низкая балансовая стоимость 841 тыс. руб. за кирпичный объект площадью 2360 кв. м?</v>
          </cell>
          <cell r="AK28">
            <v>1</v>
          </cell>
          <cell r="AL28">
            <v>808649</v>
          </cell>
          <cell r="AM28" t="str">
            <v>По сроку службы</v>
          </cell>
        </row>
        <row r="29">
          <cell r="A29">
            <v>39</v>
          </cell>
          <cell r="B29" t="str">
            <v>Ц00001316</v>
          </cell>
          <cell r="C29" t="str">
            <v>Здание нежилое Об.пл.1163,4кв.м. ЛитерШ Кад№ 23:11:0902000:280 (Пристройка №1 к коров №4)(КС  МТФ№1)</v>
          </cell>
          <cell r="D29">
            <v>41898</v>
          </cell>
          <cell r="E29">
            <v>41898</v>
          </cell>
          <cell r="F29">
            <v>2447034.2400000002</v>
          </cell>
          <cell r="G29">
            <v>0.98151841510437443</v>
          </cell>
          <cell r="H29">
            <v>2401809.1689509377</v>
          </cell>
          <cell r="I29">
            <v>1.2904109589041095</v>
          </cell>
          <cell r="J29" t="str">
            <v>металлические</v>
          </cell>
          <cell r="K29">
            <v>0</v>
          </cell>
          <cell r="L29">
            <v>35</v>
          </cell>
          <cell r="M29">
            <v>3.6868884540117414E-2</v>
          </cell>
          <cell r="N29">
            <v>0</v>
          </cell>
          <cell r="O29">
            <v>0</v>
          </cell>
          <cell r="P29">
            <v>3.6868884540117386E-2</v>
          </cell>
          <cell r="Q29">
            <v>2325089.04</v>
          </cell>
          <cell r="R29">
            <v>1998.5293450232077</v>
          </cell>
          <cell r="S29" t="str">
            <v>Соответствует</v>
          </cell>
          <cell r="T29">
            <v>2313257</v>
          </cell>
          <cell r="U29">
            <v>1988.3591198212134</v>
          </cell>
          <cell r="V29">
            <v>0.994911145424349</v>
          </cell>
          <cell r="W29" t="str">
            <v>Соответствует</v>
          </cell>
          <cell r="X29" t="str">
            <v>отличное</v>
          </cell>
          <cell r="Y29">
            <v>0.1</v>
          </cell>
          <cell r="Z29">
            <v>2161628.2520558438</v>
          </cell>
          <cell r="AA29">
            <v>1858.0266907820558</v>
          </cell>
          <cell r="AB29">
            <v>0.92969697713419341</v>
          </cell>
          <cell r="AC29" t="str">
            <v>Соответствует</v>
          </cell>
          <cell r="AD29" t="str">
            <v>Не рассчитывалась</v>
          </cell>
          <cell r="AE29" t="str">
            <v>Не рассчитывалась</v>
          </cell>
          <cell r="AF29" t="e">
            <v>#VALUE!</v>
          </cell>
          <cell r="AG29">
            <v>1163.4000000000001</v>
          </cell>
          <cell r="AH29">
            <v>0</v>
          </cell>
          <cell r="AI29">
            <v>0</v>
          </cell>
          <cell r="AJ29" t="str">
            <v>Чем обусловлена разница в 2-3 раза в балансовой стоимости объектов инв. №Ц00001316, Ц00001316 и Ц00001308, Ц00001314?</v>
          </cell>
          <cell r="AK29">
            <v>1</v>
          </cell>
          <cell r="AL29">
            <v>2313257</v>
          </cell>
          <cell r="AM29" t="str">
            <v>По сроку службы</v>
          </cell>
        </row>
        <row r="30">
          <cell r="A30">
            <v>41</v>
          </cell>
          <cell r="B30" t="str">
            <v>Ц00001308</v>
          </cell>
          <cell r="C30" t="str">
            <v>Здание нежилое Об.пл.797,4 кв.м. ЛитерУ Кад№ 23:11:0902000:284 (Пристройка №2 к коров №1)(КС  МТФ№1)</v>
          </cell>
          <cell r="D30">
            <v>41898</v>
          </cell>
          <cell r="E30">
            <v>41898</v>
          </cell>
          <cell r="F30">
            <v>847457.64</v>
          </cell>
          <cell r="G30">
            <v>0.98151841510437443</v>
          </cell>
          <cell r="H30">
            <v>831795.27968089352</v>
          </cell>
          <cell r="I30">
            <v>1.2904109589041095</v>
          </cell>
          <cell r="J30" t="str">
            <v>металлические</v>
          </cell>
          <cell r="K30">
            <v>0</v>
          </cell>
          <cell r="L30">
            <v>35</v>
          </cell>
          <cell r="M30">
            <v>3.6868884540117414E-2</v>
          </cell>
          <cell r="N30">
            <v>0</v>
          </cell>
          <cell r="O30">
            <v>0</v>
          </cell>
          <cell r="P30">
            <v>3.6868884540117386E-2</v>
          </cell>
          <cell r="Q30">
            <v>805225.59</v>
          </cell>
          <cell r="R30">
            <v>1009.8138826185101</v>
          </cell>
          <cell r="S30" t="str">
            <v>Соответствует</v>
          </cell>
          <cell r="T30">
            <v>801128</v>
          </cell>
          <cell r="U30">
            <v>1004.6751943817407</v>
          </cell>
          <cell r="V30">
            <v>0.99491125213742904</v>
          </cell>
          <cell r="W30" t="str">
            <v>Соответствует</v>
          </cell>
          <cell r="X30" t="str">
            <v>отличное</v>
          </cell>
          <cell r="Y30">
            <v>0.1</v>
          </cell>
          <cell r="Z30">
            <v>748615.75171280419</v>
          </cell>
          <cell r="AA30">
            <v>938.82085742764514</v>
          </cell>
          <cell r="AB30">
            <v>0.92969692097441192</v>
          </cell>
          <cell r="AC30" t="str">
            <v>Соответствует</v>
          </cell>
          <cell r="AD30" t="str">
            <v>Не рассчитывалась</v>
          </cell>
          <cell r="AE30" t="str">
            <v>Не рассчитывалась</v>
          </cell>
          <cell r="AF30" t="e">
            <v>#VALUE!</v>
          </cell>
          <cell r="AG30">
            <v>797.4</v>
          </cell>
          <cell r="AH30">
            <v>0</v>
          </cell>
          <cell r="AI30">
            <v>0</v>
          </cell>
          <cell r="AJ30" t="str">
            <v>Чем обусловлена разница в 2-3 раза в балансовой стоимости объектов инв. №Ц00001316, Ц00001316 и Ц00001308, Ц00001314?</v>
          </cell>
          <cell r="AK30">
            <v>1</v>
          </cell>
          <cell r="AL30">
            <v>801128</v>
          </cell>
          <cell r="AM30" t="str">
            <v>По сроку службы</v>
          </cell>
        </row>
        <row r="31">
          <cell r="A31">
            <v>45</v>
          </cell>
          <cell r="B31" t="str">
            <v>Ц00001314</v>
          </cell>
          <cell r="C31" t="str">
            <v>Здание нежилое Об.пл.867,7кв.м. ЛитерЦ Кад№ 23:11:0902000:282 (Пристройка №2 к коров №3) (КС  МТФ№1)</v>
          </cell>
          <cell r="D31">
            <v>41898</v>
          </cell>
          <cell r="E31">
            <v>41898</v>
          </cell>
          <cell r="F31">
            <v>707606.78</v>
          </cell>
          <cell r="G31">
            <v>0.98151841510437443</v>
          </cell>
          <cell r="H31">
            <v>694529.08522270981</v>
          </cell>
          <cell r="I31">
            <v>1.2904109589041095</v>
          </cell>
          <cell r="J31" t="str">
            <v>металлические</v>
          </cell>
          <cell r="K31">
            <v>0</v>
          </cell>
          <cell r="L31">
            <v>35</v>
          </cell>
          <cell r="M31">
            <v>3.6868884540117414E-2</v>
          </cell>
          <cell r="N31">
            <v>0</v>
          </cell>
          <cell r="O31">
            <v>0</v>
          </cell>
          <cell r="P31">
            <v>3.6868884540117386E-2</v>
          </cell>
          <cell r="Q31">
            <v>672344.03</v>
          </cell>
          <cell r="R31">
            <v>774.85770427567127</v>
          </cell>
          <cell r="S31" t="str">
            <v>Соответствует</v>
          </cell>
          <cell r="T31">
            <v>668923</v>
          </cell>
          <cell r="U31">
            <v>770.91506280972681</v>
          </cell>
          <cell r="V31">
            <v>0.99491178645551437</v>
          </cell>
          <cell r="W31" t="str">
            <v>Соответствует</v>
          </cell>
          <cell r="X31" t="str">
            <v>отличное</v>
          </cell>
          <cell r="Y31">
            <v>0.1</v>
          </cell>
          <cell r="Z31">
            <v>625076.17670043884</v>
          </cell>
          <cell r="AA31">
            <v>720.38282436376494</v>
          </cell>
          <cell r="AB31">
            <v>0.92969692420774352</v>
          </cell>
          <cell r="AC31" t="str">
            <v>Соответствует</v>
          </cell>
          <cell r="AD31" t="str">
            <v>Не рассчитывалась</v>
          </cell>
          <cell r="AE31" t="str">
            <v>Не рассчитывалась</v>
          </cell>
          <cell r="AF31" t="e">
            <v>#VALUE!</v>
          </cell>
          <cell r="AG31">
            <v>867.7</v>
          </cell>
          <cell r="AH31">
            <v>0</v>
          </cell>
          <cell r="AI31" t="str">
            <v>Уточнить состояние по фото</v>
          </cell>
          <cell r="AJ31" t="str">
            <v>Чем обусловлена разница в 2-3 раза в балансовой стоимости объектов инв. №Ц00001316, Ц00001316 и Ц00001308, Ц00001314?</v>
          </cell>
          <cell r="AK31">
            <v>1</v>
          </cell>
          <cell r="AL31">
            <v>668923</v>
          </cell>
          <cell r="AM31" t="str">
            <v>По сроку службы</v>
          </cell>
        </row>
        <row r="32">
          <cell r="A32">
            <v>46</v>
          </cell>
          <cell r="B32" t="str">
            <v>Ц00001317</v>
          </cell>
          <cell r="C32" t="str">
            <v>Здание нежилое Об.пл.975,7кв.м. ЛитерЧ Кад№ 23:11:0902000:283 (Пристройка №2 к коров №4) (КС  МТФ№1)</v>
          </cell>
          <cell r="D32">
            <v>41898</v>
          </cell>
          <cell r="E32">
            <v>41898</v>
          </cell>
          <cell r="F32">
            <v>2447034.25</v>
          </cell>
          <cell r="G32">
            <v>0.98151841510437443</v>
          </cell>
          <cell r="H32">
            <v>2401809.1787661216</v>
          </cell>
          <cell r="I32">
            <v>1.2904109589041095</v>
          </cell>
          <cell r="J32" t="str">
            <v>металлические</v>
          </cell>
          <cell r="K32">
            <v>0</v>
          </cell>
          <cell r="L32">
            <v>35</v>
          </cell>
          <cell r="M32">
            <v>3.6868884540117414E-2</v>
          </cell>
          <cell r="N32">
            <v>0</v>
          </cell>
          <cell r="O32">
            <v>0</v>
          </cell>
          <cell r="P32">
            <v>3.6868884540117386E-2</v>
          </cell>
          <cell r="Q32">
            <v>2325089.0499999998</v>
          </cell>
          <cell r="R32">
            <v>2382.9958491339548</v>
          </cell>
          <cell r="S32" t="str">
            <v>Соответствует</v>
          </cell>
          <cell r="T32">
            <v>2313257</v>
          </cell>
          <cell r="U32">
            <v>2370.8691196064365</v>
          </cell>
          <cell r="V32">
            <v>0.9949111411453252</v>
          </cell>
          <cell r="W32" t="str">
            <v>Соответствует</v>
          </cell>
          <cell r="X32" t="str">
            <v>отличное</v>
          </cell>
          <cell r="Y32">
            <v>0.1</v>
          </cell>
          <cell r="Z32">
            <v>2161628.2608895097</v>
          </cell>
          <cell r="AA32">
            <v>2215.4640369883259</v>
          </cell>
          <cell r="AB32">
            <v>0.9296969769349307</v>
          </cell>
          <cell r="AC32" t="str">
            <v>Соответствует</v>
          </cell>
          <cell r="AD32" t="str">
            <v>Не рассчитывалась</v>
          </cell>
          <cell r="AE32" t="str">
            <v>Не рассчитывалась</v>
          </cell>
          <cell r="AF32" t="e">
            <v>#VALUE!</v>
          </cell>
          <cell r="AG32">
            <v>975.7</v>
          </cell>
          <cell r="AH32">
            <v>0</v>
          </cell>
          <cell r="AI32">
            <v>0</v>
          </cell>
          <cell r="AJ32" t="str">
            <v>Чем обусловлена разница в 2-3 раза в балансовой стоимости объектов инв. №Ц00001316, Ц00001316 и Ц00001308, Ц00001314?</v>
          </cell>
          <cell r="AK32">
            <v>1</v>
          </cell>
          <cell r="AL32">
            <v>2313257</v>
          </cell>
          <cell r="AM32" t="str">
            <v>По сроку службы</v>
          </cell>
        </row>
        <row r="33">
          <cell r="A33">
            <v>47</v>
          </cell>
          <cell r="B33" t="str">
            <v>Ц00002239</v>
          </cell>
          <cell r="C33" t="str">
            <v>Здание овощехранилища Об.пл.1040,2кв.м. Литер Д Кад№ 23:24:0701000:725   (НП  МТФ№3)</v>
          </cell>
          <cell r="D33">
            <v>41934</v>
          </cell>
          <cell r="E33">
            <v>41898</v>
          </cell>
          <cell r="F33">
            <v>380699.07</v>
          </cell>
          <cell r="G33">
            <v>0.98663458968190321</v>
          </cell>
          <cell r="H33">
            <v>375610.87072173215</v>
          </cell>
          <cell r="I33">
            <v>1.2904109589041095</v>
          </cell>
          <cell r="J33" t="str">
            <v>кирпичные</v>
          </cell>
          <cell r="K33">
            <v>0</v>
          </cell>
          <cell r="L33">
            <v>60</v>
          </cell>
          <cell r="M33">
            <v>2.150684931506849E-2</v>
          </cell>
          <cell r="N33">
            <v>0</v>
          </cell>
          <cell r="O33">
            <v>0</v>
          </cell>
          <cell r="P33">
            <v>2.1506849315068521E-2</v>
          </cell>
          <cell r="Q33">
            <v>236650.83000000002</v>
          </cell>
          <cell r="R33">
            <v>227.50512401461259</v>
          </cell>
          <cell r="S33" t="str">
            <v>Не соответствует</v>
          </cell>
          <cell r="T33">
            <v>367533</v>
          </cell>
          <cell r="U33">
            <v>353.32916746779466</v>
          </cell>
          <cell r="V33">
            <v>1.5530602618211817</v>
          </cell>
          <cell r="W33" t="str">
            <v>Не соответствует</v>
          </cell>
          <cell r="X33" t="str">
            <v>неудовлетворительное</v>
          </cell>
          <cell r="Y33">
            <v>0.65</v>
          </cell>
          <cell r="Z33">
            <v>131463.80475260626</v>
          </cell>
          <cell r="AA33">
            <v>126.38320010825443</v>
          </cell>
          <cell r="AB33">
            <v>0.55551803791521137</v>
          </cell>
          <cell r="AC33" t="str">
            <v>Соответствует</v>
          </cell>
          <cell r="AD33" t="str">
            <v>Не рассчитывалась</v>
          </cell>
          <cell r="AE33" t="str">
            <v>Не рассчитывалась</v>
          </cell>
          <cell r="AF33" t="e">
            <v>#VALUE!</v>
          </cell>
          <cell r="AG33">
            <v>1040.2</v>
          </cell>
          <cell r="AH33">
            <v>0</v>
          </cell>
          <cell r="AI33" t="str">
            <v>Уточнить состояние по фото</v>
          </cell>
          <cell r="AL33">
            <v>131463.80475260626</v>
          </cell>
          <cell r="AM33" t="str">
            <v>Экспертно</v>
          </cell>
        </row>
        <row r="34">
          <cell r="A34">
            <v>48</v>
          </cell>
          <cell r="B34" t="str">
            <v>Ц00001725</v>
          </cell>
          <cell r="C34" t="str">
            <v>Здание склада  Об.пл 2454,3 кв.м. Литер А Кад № 23:11:0902000:254 (КС  МТФ№1мельница)</v>
          </cell>
          <cell r="D34">
            <v>41929</v>
          </cell>
          <cell r="E34">
            <v>41929</v>
          </cell>
          <cell r="F34">
            <v>11290.75</v>
          </cell>
          <cell r="G34">
            <v>0.98663458968190321</v>
          </cell>
          <cell r="H34">
            <v>11139.844493450948</v>
          </cell>
          <cell r="I34">
            <v>1.2054794520547945</v>
          </cell>
          <cell r="J34" t="str">
            <v>шлакоблоки</v>
          </cell>
          <cell r="K34">
            <v>0</v>
          </cell>
          <cell r="L34">
            <v>60</v>
          </cell>
          <cell r="M34">
            <v>2.0091324200913242E-2</v>
          </cell>
          <cell r="N34">
            <v>0</v>
          </cell>
          <cell r="O34">
            <v>0</v>
          </cell>
          <cell r="P34">
            <v>2.0091324200913196E-2</v>
          </cell>
          <cell r="Q34">
            <v>9984.41</v>
          </cell>
          <cell r="R34">
            <v>4.0681294055331456</v>
          </cell>
          <cell r="S34" t="str">
            <v>Соответствует</v>
          </cell>
          <cell r="T34">
            <v>10916</v>
          </cell>
          <cell r="U34">
            <v>4.4477040296622254</v>
          </cell>
          <cell r="V34">
            <v>1.0933044616557213</v>
          </cell>
          <cell r="W34" t="str">
            <v>Соответствует</v>
          </cell>
          <cell r="X34" t="str">
            <v>удовлетворительное</v>
          </cell>
          <cell r="Y34">
            <v>0.4</v>
          </cell>
          <cell r="Z34">
            <v>6683.9066960705686</v>
          </cell>
          <cell r="AA34">
            <v>2.7233454329424145</v>
          </cell>
          <cell r="AB34">
            <v>0.66943431770836426</v>
          </cell>
          <cell r="AC34" t="str">
            <v>Соответствует</v>
          </cell>
          <cell r="AD34" t="str">
            <v>Не рассчитывалась</v>
          </cell>
          <cell r="AE34" t="str">
            <v>Не рассчитывалась</v>
          </cell>
          <cell r="AF34" t="e">
            <v>#VALUE!</v>
          </cell>
          <cell r="AG34">
            <v>2454.3000000000002</v>
          </cell>
          <cell r="AH34">
            <v>0</v>
          </cell>
          <cell r="AI34" t="str">
            <v>Уточнить состояние по фото</v>
          </cell>
          <cell r="AJ34" t="str">
            <v>Чем обусловлена столь низкая балансовая стоимость 11 тыс. руб. за блочный объект площадью 2454 кв. м?</v>
          </cell>
          <cell r="AK34">
            <v>1</v>
          </cell>
          <cell r="AL34">
            <v>10916</v>
          </cell>
          <cell r="AM34" t="str">
            <v>По сроку службы</v>
          </cell>
        </row>
        <row r="35">
          <cell r="A35">
            <v>49</v>
          </cell>
          <cell r="B35" t="str">
            <v>Ц00002242</v>
          </cell>
          <cell r="C35" t="str">
            <v>Здание склада для кормов Об.пл. 24,5кв.м. Литер Х Кад№ 23:24:0701000:726  (НП  МТФ№3)</v>
          </cell>
          <cell r="D35">
            <v>41934</v>
          </cell>
          <cell r="E35">
            <v>41934</v>
          </cell>
          <cell r="F35">
            <v>7101.68</v>
          </cell>
          <cell r="G35">
            <v>0.98663458968190321</v>
          </cell>
          <cell r="H35">
            <v>7006.7631328521784</v>
          </cell>
          <cell r="I35">
            <v>1.1917808219178083</v>
          </cell>
          <cell r="J35" t="str">
            <v>кирпичные</v>
          </cell>
          <cell r="K35">
            <v>0</v>
          </cell>
          <cell r="L35">
            <v>60</v>
          </cell>
          <cell r="M35">
            <v>1.9863013698630139E-2</v>
          </cell>
          <cell r="N35">
            <v>0</v>
          </cell>
          <cell r="O35">
            <v>0</v>
          </cell>
          <cell r="P35">
            <v>1.9863013698630194E-2</v>
          </cell>
          <cell r="Q35">
            <v>6552.3200000000006</v>
          </cell>
          <cell r="R35">
            <v>267.44163265306128</v>
          </cell>
          <cell r="S35" t="str">
            <v>Не соответствует</v>
          </cell>
          <cell r="T35">
            <v>6868</v>
          </cell>
          <cell r="U35">
            <v>280.32653061224488</v>
          </cell>
          <cell r="V35">
            <v>1.0481783551474897</v>
          </cell>
          <cell r="W35" t="str">
            <v>Не соответствует</v>
          </cell>
          <cell r="X35" t="str">
            <v>удовлетворительное</v>
          </cell>
          <cell r="Y35">
            <v>0.5</v>
          </cell>
          <cell r="Z35">
            <v>3503.3815664260892</v>
          </cell>
          <cell r="AA35">
            <v>142.99516597657507</v>
          </cell>
          <cell r="AB35">
            <v>0.53467803257870328</v>
          </cell>
          <cell r="AC35" t="str">
            <v>Соответствует</v>
          </cell>
          <cell r="AD35" t="str">
            <v>Не рассчитывалась</v>
          </cell>
          <cell r="AE35" t="str">
            <v>Не рассчитывалась</v>
          </cell>
          <cell r="AF35" t="e">
            <v>#VALUE!</v>
          </cell>
          <cell r="AG35">
            <v>24.5</v>
          </cell>
          <cell r="AH35">
            <v>0</v>
          </cell>
          <cell r="AI35" t="str">
            <v>Уточнить состояние по фото</v>
          </cell>
          <cell r="AL35">
            <v>3503.3815664260892</v>
          </cell>
          <cell r="AM35" t="str">
            <v>Экспертно</v>
          </cell>
        </row>
        <row r="36">
          <cell r="A36">
            <v>50</v>
          </cell>
          <cell r="B36" t="str">
            <v>Ц00002241</v>
          </cell>
          <cell r="C36" t="str">
            <v>Здание щитовой Об.пл. 3,2кв.м. Литер Г6 Кад№ 23:24:0701000:684  (НП  МТФ№3)</v>
          </cell>
          <cell r="D36">
            <v>41934</v>
          </cell>
          <cell r="E36">
            <v>41934</v>
          </cell>
          <cell r="F36">
            <v>507.58</v>
          </cell>
          <cell r="G36">
            <v>0.98663458968190321</v>
          </cell>
          <cell r="H36">
            <v>500.79598503074044</v>
          </cell>
          <cell r="I36">
            <v>1.1917808219178083</v>
          </cell>
          <cell r="J36" t="str">
            <v>кирпичные</v>
          </cell>
          <cell r="K36">
            <v>0</v>
          </cell>
          <cell r="L36">
            <v>60</v>
          </cell>
          <cell r="M36">
            <v>1.9863013698630139E-2</v>
          </cell>
          <cell r="N36">
            <v>0</v>
          </cell>
          <cell r="O36">
            <v>0</v>
          </cell>
          <cell r="P36">
            <v>1.9863013698630194E-2</v>
          </cell>
          <cell r="Q36">
            <v>0</v>
          </cell>
          <cell r="R36">
            <v>0</v>
          </cell>
          <cell r="S36" t="str">
            <v>Не соответствует</v>
          </cell>
          <cell r="T36">
            <v>491</v>
          </cell>
          <cell r="U36">
            <v>153.4375</v>
          </cell>
          <cell r="V36" t="e">
            <v>#DIV/0!</v>
          </cell>
          <cell r="W36" t="str">
            <v>Соответствует</v>
          </cell>
          <cell r="X36" t="str">
            <v>удовлетворительное</v>
          </cell>
          <cell r="Y36">
            <v>0.4</v>
          </cell>
          <cell r="Z36">
            <v>300.47759101844423</v>
          </cell>
          <cell r="AA36">
            <v>93.899247193263818</v>
          </cell>
          <cell r="AB36" t="e">
            <v>#DIV/0!</v>
          </cell>
          <cell r="AC36" t="str">
            <v>Соответствует</v>
          </cell>
          <cell r="AD36" t="str">
            <v>Не рассчитывалась</v>
          </cell>
          <cell r="AE36" t="str">
            <v>Не рассчитывалась</v>
          </cell>
          <cell r="AF36" t="e">
            <v>#VALUE!</v>
          </cell>
          <cell r="AG36">
            <v>3.2</v>
          </cell>
          <cell r="AH36" t="str">
            <v>будет использоваться</v>
          </cell>
          <cell r="AI36" t="str">
            <v>Уточнить состояние по фото</v>
          </cell>
          <cell r="AL36">
            <v>300.47759101844423</v>
          </cell>
          <cell r="AM36" t="str">
            <v>Экспертно</v>
          </cell>
        </row>
        <row r="37">
          <cell r="A37">
            <v>51</v>
          </cell>
          <cell r="B37" t="str">
            <v>Ц00002246</v>
          </cell>
          <cell r="C37" t="str">
            <v>Здание щитовой Об.пл. 3,2кв.м. Литер Г7 Кад№ 23:24:0701000:714  (НП  МТФ№3)</v>
          </cell>
          <cell r="D37">
            <v>41934</v>
          </cell>
          <cell r="E37">
            <v>41934</v>
          </cell>
          <cell r="F37">
            <v>1142.0899999999999</v>
          </cell>
          <cell r="G37">
            <v>0.98663458968190321</v>
          </cell>
          <cell r="H37">
            <v>1126.8254985298047</v>
          </cell>
          <cell r="I37">
            <v>1.1917808219178083</v>
          </cell>
          <cell r="J37" t="str">
            <v>кирпичные</v>
          </cell>
          <cell r="K37">
            <v>0</v>
          </cell>
          <cell r="L37">
            <v>60</v>
          </cell>
          <cell r="M37">
            <v>1.9863013698630139E-2</v>
          </cell>
          <cell r="N37">
            <v>0</v>
          </cell>
          <cell r="O37">
            <v>0</v>
          </cell>
          <cell r="P37">
            <v>1.9863013698630194E-2</v>
          </cell>
          <cell r="Q37">
            <v>1097.8499999999999</v>
          </cell>
          <cell r="R37">
            <v>343.07812499999994</v>
          </cell>
          <cell r="S37" t="str">
            <v>Соответствует</v>
          </cell>
          <cell r="T37">
            <v>1104</v>
          </cell>
          <cell r="U37">
            <v>345</v>
          </cell>
          <cell r="V37">
            <v>1.0056018581773467</v>
          </cell>
          <cell r="W37" t="str">
            <v>Соответствует</v>
          </cell>
          <cell r="X37" t="str">
            <v>удовлетворительное</v>
          </cell>
          <cell r="Y37">
            <v>0.5</v>
          </cell>
          <cell r="Z37">
            <v>563.41274926490235</v>
          </cell>
          <cell r="AA37">
            <v>176.06648414528198</v>
          </cell>
          <cell r="AB37">
            <v>0.51319647425868964</v>
          </cell>
          <cell r="AC37" t="str">
            <v>Не соответствует</v>
          </cell>
          <cell r="AD37" t="str">
            <v>Не рассчитывалась</v>
          </cell>
          <cell r="AE37" t="str">
            <v>Не рассчитывалась</v>
          </cell>
          <cell r="AF37" t="e">
            <v>#VALUE!</v>
          </cell>
          <cell r="AG37">
            <v>3.2</v>
          </cell>
          <cell r="AH37">
            <v>0</v>
          </cell>
          <cell r="AI37" t="str">
            <v>Уточнить состояние по фото</v>
          </cell>
          <cell r="AL37">
            <v>1104</v>
          </cell>
          <cell r="AM37" t="str">
            <v>По сроку службы</v>
          </cell>
        </row>
        <row r="38">
          <cell r="A38">
            <v>52</v>
          </cell>
          <cell r="B38" t="str">
            <v>Ц00002240</v>
          </cell>
          <cell r="C38" t="str">
            <v>Здание щитовой Об.пл. 68,7кв.м. Литер П,П1 Кад№ 23:24:0701000:731  (НП  МТФ№3)</v>
          </cell>
          <cell r="D38">
            <v>41934</v>
          </cell>
          <cell r="E38">
            <v>41934</v>
          </cell>
          <cell r="F38">
            <v>2334.81</v>
          </cell>
          <cell r="G38">
            <v>0.98663458968190321</v>
          </cell>
          <cell r="H38">
            <v>2303.6043063352045</v>
          </cell>
          <cell r="I38">
            <v>1.1917808219178083</v>
          </cell>
          <cell r="J38" t="str">
            <v>кирпичные</v>
          </cell>
          <cell r="K38">
            <v>0</v>
          </cell>
          <cell r="L38">
            <v>60</v>
          </cell>
          <cell r="M38">
            <v>1.9863013698630139E-2</v>
          </cell>
          <cell r="N38">
            <v>0</v>
          </cell>
          <cell r="O38">
            <v>0</v>
          </cell>
          <cell r="P38">
            <v>1.9863013698630194E-2</v>
          </cell>
          <cell r="Q38">
            <v>2154.21</v>
          </cell>
          <cell r="R38">
            <v>31.356768558951963</v>
          </cell>
          <cell r="S38" t="str">
            <v>Соответствует</v>
          </cell>
          <cell r="T38">
            <v>2258</v>
          </cell>
          <cell r="U38">
            <v>32.867540029112078</v>
          </cell>
          <cell r="V38">
            <v>1.0481800752944235</v>
          </cell>
          <cell r="W38" t="str">
            <v>Соответствует</v>
          </cell>
          <cell r="X38" t="str">
            <v>удовлетворительное</v>
          </cell>
          <cell r="Y38">
            <v>0.45</v>
          </cell>
          <cell r="Z38">
            <v>1266.9823684843625</v>
          </cell>
          <cell r="AA38">
            <v>18.442246993949961</v>
          </cell>
          <cell r="AB38">
            <v>0.58814245987362535</v>
          </cell>
          <cell r="AC38" t="str">
            <v>Соответствует</v>
          </cell>
          <cell r="AD38" t="str">
            <v>Не рассчитывалась</v>
          </cell>
          <cell r="AE38" t="str">
            <v>Не рассчитывалась</v>
          </cell>
          <cell r="AF38" t="e">
            <v>#VALUE!</v>
          </cell>
          <cell r="AG38">
            <v>68.7</v>
          </cell>
          <cell r="AH38">
            <v>0</v>
          </cell>
          <cell r="AI38" t="str">
            <v>Уточнить состояние по фото</v>
          </cell>
          <cell r="AJ38" t="str">
            <v>Чем обусловлена столь низкая балансовая стоимость 2,3 тыс. руб. за кирпичный объект площадью 68 кв. м?</v>
          </cell>
          <cell r="AK38">
            <v>1</v>
          </cell>
          <cell r="AL38">
            <v>2258</v>
          </cell>
          <cell r="AM38" t="str">
            <v>По сроку службы</v>
          </cell>
        </row>
        <row r="39">
          <cell r="A39">
            <v>53</v>
          </cell>
          <cell r="B39">
            <v>318</v>
          </cell>
          <cell r="C39" t="str">
            <v>Зерносклад (373) МТС Об.S-975,8 кв.м.  Литер Б Кад№ 23:11:0607000:1859</v>
          </cell>
          <cell r="D39">
            <v>33953</v>
          </cell>
          <cell r="E39">
            <v>33953</v>
          </cell>
          <cell r="F39">
            <v>756667</v>
          </cell>
          <cell r="G39">
            <v>13.261762999999998</v>
          </cell>
          <cell r="H39">
            <v>10034738.423920998</v>
          </cell>
          <cell r="I39">
            <v>23.057534246575344</v>
          </cell>
          <cell r="J39" t="str">
            <v>бутовые, ж/б панели</v>
          </cell>
          <cell r="K39">
            <v>0</v>
          </cell>
          <cell r="L39">
            <v>50</v>
          </cell>
          <cell r="M39">
            <v>0.46115068493150685</v>
          </cell>
          <cell r="N39">
            <v>0</v>
          </cell>
          <cell r="O39">
            <v>0</v>
          </cell>
          <cell r="P39">
            <v>0.46115068493150679</v>
          </cell>
          <cell r="Q39">
            <v>321583.52</v>
          </cell>
          <cell r="R39">
            <v>329.55884402541506</v>
          </cell>
          <cell r="S39" t="str">
            <v>Не соответствует</v>
          </cell>
          <cell r="T39">
            <v>5407212</v>
          </cell>
          <cell r="U39">
            <v>5541.3117442098792</v>
          </cell>
          <cell r="V39">
            <v>16.814331779190674</v>
          </cell>
          <cell r="W39" t="str">
            <v>Не соответствует</v>
          </cell>
          <cell r="X39" t="str">
            <v>хорошее</v>
          </cell>
          <cell r="Y39">
            <v>0.3</v>
          </cell>
          <cell r="Z39">
            <v>7024316.8967446983</v>
          </cell>
          <cell r="AA39">
            <v>7198.5211075473444</v>
          </cell>
          <cell r="AB39">
            <v>21.842900708172788</v>
          </cell>
          <cell r="AC39" t="str">
            <v>Соответствует</v>
          </cell>
          <cell r="AD39" t="str">
            <v>Не рассчитывалась</v>
          </cell>
          <cell r="AE39" t="str">
            <v>Не рассчитывалась</v>
          </cell>
          <cell r="AF39" t="e">
            <v>#VALUE!</v>
          </cell>
          <cell r="AG39">
            <v>975.8</v>
          </cell>
          <cell r="AH39" t="str">
            <v>будет использоваться</v>
          </cell>
          <cell r="AI39">
            <v>0</v>
          </cell>
          <cell r="AL39">
            <v>7024316.8967446983</v>
          </cell>
          <cell r="AM39" t="str">
            <v>Экспертно</v>
          </cell>
        </row>
        <row r="40">
          <cell r="A40">
            <v>54</v>
          </cell>
          <cell r="B40">
            <v>313</v>
          </cell>
          <cell r="C40" t="str">
            <v>Зерносклад на 2000 тонн ЦЗС Об.S-1367,1 кв.м. Литер Б  Кад № 23:11:0607000:1854</v>
          </cell>
          <cell r="D40">
            <v>28474</v>
          </cell>
          <cell r="E40">
            <v>28474</v>
          </cell>
          <cell r="F40">
            <v>531853</v>
          </cell>
          <cell r="G40">
            <v>13.261762999999998</v>
          </cell>
          <cell r="H40">
            <v>7053308.4368389994</v>
          </cell>
          <cell r="I40">
            <v>38.06849315068493</v>
          </cell>
          <cell r="J40" t="str">
            <v>кирпичные</v>
          </cell>
          <cell r="K40">
            <v>0</v>
          </cell>
          <cell r="L40">
            <v>60</v>
          </cell>
          <cell r="M40">
            <v>0.63447488584474887</v>
          </cell>
          <cell r="N40">
            <v>0</v>
          </cell>
          <cell r="O40">
            <v>0</v>
          </cell>
          <cell r="P40">
            <v>0.63447488584474887</v>
          </cell>
          <cell r="Q40">
            <v>332408.04000000004</v>
          </cell>
          <cell r="R40">
            <v>243.14829931972793</v>
          </cell>
          <cell r="S40" t="str">
            <v>Не соответствует</v>
          </cell>
          <cell r="T40">
            <v>2578161</v>
          </cell>
          <cell r="U40">
            <v>1885.8613122668423</v>
          </cell>
          <cell r="V40">
            <v>7.7560127607021769</v>
          </cell>
          <cell r="W40" t="str">
            <v>Не соответствует</v>
          </cell>
          <cell r="X40" t="str">
            <v>хорошее</v>
          </cell>
          <cell r="Y40">
            <v>0.3</v>
          </cell>
          <cell r="Z40">
            <v>4937315.9057872994</v>
          </cell>
          <cell r="AA40">
            <v>3611.5250572652326</v>
          </cell>
          <cell r="AB40">
            <v>14.853178358102586</v>
          </cell>
          <cell r="AC40" t="str">
            <v>Соответствует</v>
          </cell>
          <cell r="AD40" t="str">
            <v>Не рассчитывалась</v>
          </cell>
          <cell r="AE40" t="str">
            <v>Не рассчитывалась</v>
          </cell>
          <cell r="AF40" t="e">
            <v>#VALUE!</v>
          </cell>
          <cell r="AG40">
            <v>1367.1</v>
          </cell>
          <cell r="AH40" t="str">
            <v>будет использоваться</v>
          </cell>
          <cell r="AI40">
            <v>0</v>
          </cell>
          <cell r="AL40">
            <v>4937315.9057872994</v>
          </cell>
          <cell r="AM40" t="str">
            <v>Экспертно</v>
          </cell>
        </row>
        <row r="41">
          <cell r="A41">
            <v>55</v>
          </cell>
          <cell r="B41">
            <v>311</v>
          </cell>
          <cell r="C41" t="str">
            <v>Зерносклад на 3000 тонн (196) ЦЗС Об.S-1644,8 кв.м. Литер А Кад№ 23:11:0607000:1825</v>
          </cell>
          <cell r="D41">
            <v>26282</v>
          </cell>
          <cell r="E41">
            <v>26282</v>
          </cell>
          <cell r="F41">
            <v>474644</v>
          </cell>
          <cell r="G41">
            <v>13.261762999999998</v>
          </cell>
          <cell r="H41">
            <v>6294616.2373719988</v>
          </cell>
          <cell r="I41">
            <v>44.073972602739723</v>
          </cell>
          <cell r="J41" t="str">
            <v>кирпичные</v>
          </cell>
          <cell r="K41">
            <v>0</v>
          </cell>
          <cell r="L41">
            <v>60</v>
          </cell>
          <cell r="M41">
            <v>0.73456621004566203</v>
          </cell>
          <cell r="N41">
            <v>0</v>
          </cell>
          <cell r="O41">
            <v>0</v>
          </cell>
          <cell r="P41">
            <v>0.73456621004566203</v>
          </cell>
          <cell r="Q41">
            <v>298144.12</v>
          </cell>
          <cell r="R41">
            <v>181.26466439688716</v>
          </cell>
          <cell r="S41" t="str">
            <v>Не соответствует</v>
          </cell>
          <cell r="T41">
            <v>1670804</v>
          </cell>
          <cell r="U41">
            <v>1015.8098249027238</v>
          </cell>
          <cell r="V41">
            <v>5.6040145953574401</v>
          </cell>
          <cell r="W41" t="str">
            <v>Не соответствует</v>
          </cell>
          <cell r="X41" t="str">
            <v>хорошее</v>
          </cell>
          <cell r="Y41">
            <v>0.3</v>
          </cell>
          <cell r="Z41">
            <v>4406231.3661603993</v>
          </cell>
          <cell r="AA41">
            <v>2678.8858014107486</v>
          </cell>
          <cell r="AB41">
            <v>14.778863880194583</v>
          </cell>
          <cell r="AC41" t="str">
            <v>Соответствует</v>
          </cell>
          <cell r="AD41" t="str">
            <v>Не рассчитывалась</v>
          </cell>
          <cell r="AE41" t="str">
            <v>Не рассчитывалась</v>
          </cell>
          <cell r="AF41" t="e">
            <v>#VALUE!</v>
          </cell>
          <cell r="AG41">
            <v>1644.8</v>
          </cell>
          <cell r="AH41" t="str">
            <v>будет использоваться</v>
          </cell>
          <cell r="AI41">
            <v>0</v>
          </cell>
          <cell r="AL41">
            <v>4406231.3661603993</v>
          </cell>
          <cell r="AM41" t="str">
            <v>Экспертно</v>
          </cell>
        </row>
        <row r="42">
          <cell r="A42">
            <v>56</v>
          </cell>
          <cell r="B42">
            <v>314</v>
          </cell>
          <cell r="C42" t="str">
            <v>Зернохранилище  (205) ЦЗС (К) Об.S-1223 кв.м. Кад№  23:11:0702000:768</v>
          </cell>
          <cell r="D42">
            <v>25187</v>
          </cell>
          <cell r="E42">
            <v>25187</v>
          </cell>
          <cell r="F42">
            <v>459733</v>
          </cell>
          <cell r="G42">
            <v>13.261762999999998</v>
          </cell>
          <cell r="H42">
            <v>6096870.0892789997</v>
          </cell>
          <cell r="I42">
            <v>47.073972602739723</v>
          </cell>
          <cell r="J42" t="str">
            <v>кирпичные</v>
          </cell>
          <cell r="K42">
            <v>0</v>
          </cell>
          <cell r="L42">
            <v>60</v>
          </cell>
          <cell r="M42">
            <v>0.78456621004566207</v>
          </cell>
          <cell r="N42">
            <v>0</v>
          </cell>
          <cell r="O42">
            <v>0</v>
          </cell>
          <cell r="P42">
            <v>0.78456621004566207</v>
          </cell>
          <cell r="Q42">
            <v>0</v>
          </cell>
          <cell r="R42">
            <v>0</v>
          </cell>
          <cell r="S42" t="str">
            <v>Не соответствует</v>
          </cell>
          <cell r="T42">
            <v>1313472</v>
          </cell>
          <cell r="U42">
            <v>1073.9754701553557</v>
          </cell>
          <cell r="V42" t="e">
            <v>#DIV/0!</v>
          </cell>
          <cell r="W42" t="str">
            <v>Не соответствует</v>
          </cell>
          <cell r="X42" t="str">
            <v>хорошее</v>
          </cell>
          <cell r="Y42">
            <v>0.3</v>
          </cell>
          <cell r="Z42">
            <v>4267809.0624952996</v>
          </cell>
          <cell r="AA42">
            <v>3489.6231091539653</v>
          </cell>
          <cell r="AB42" t="e">
            <v>#DIV/0!</v>
          </cell>
          <cell r="AC42" t="str">
            <v>Соответствует</v>
          </cell>
          <cell r="AD42" t="str">
            <v>Не рассчитывалась</v>
          </cell>
          <cell r="AE42" t="str">
            <v>Не рассчитывалась</v>
          </cell>
          <cell r="AF42" t="e">
            <v>#VALUE!</v>
          </cell>
          <cell r="AG42">
            <v>1223</v>
          </cell>
          <cell r="AH42" t="str">
            <v>будет использоваться</v>
          </cell>
          <cell r="AI42">
            <v>0</v>
          </cell>
          <cell r="AL42">
            <v>4267809.0624952996</v>
          </cell>
          <cell r="AM42" t="str">
            <v>Экспертно</v>
          </cell>
        </row>
        <row r="43">
          <cell r="A43">
            <v>57</v>
          </cell>
          <cell r="B43" t="str">
            <v>Р00006265</v>
          </cell>
          <cell r="C43" t="str">
            <v>Контора цеха животноводства МТФ-3</v>
          </cell>
          <cell r="D43">
            <v>39447</v>
          </cell>
          <cell r="E43">
            <v>39447</v>
          </cell>
          <cell r="F43">
            <v>284651.77</v>
          </cell>
          <cell r="G43">
            <v>2.0666293393057109</v>
          </cell>
          <cell r="H43">
            <v>588269.69936730119</v>
          </cell>
          <cell r="I43">
            <v>8.0054794520547947</v>
          </cell>
          <cell r="J43" t="str">
            <v>шлакоблоки</v>
          </cell>
          <cell r="K43">
            <v>0</v>
          </cell>
          <cell r="L43">
            <v>60</v>
          </cell>
          <cell r="M43">
            <v>0.13342465753424657</v>
          </cell>
          <cell r="N43">
            <v>0</v>
          </cell>
          <cell r="O43">
            <v>0</v>
          </cell>
          <cell r="P43">
            <v>0.13342465753424659</v>
          </cell>
          <cell r="Q43">
            <v>227721.85000000003</v>
          </cell>
          <cell r="R43">
            <v>4465.1343137254908</v>
          </cell>
          <cell r="S43" t="str">
            <v>Не соответствует</v>
          </cell>
          <cell r="T43">
            <v>509780</v>
          </cell>
          <cell r="U43">
            <v>9995.6862745098042</v>
          </cell>
          <cell r="V43">
            <v>2.2386081967979794</v>
          </cell>
          <cell r="W43" t="str">
            <v>Соответствует</v>
          </cell>
          <cell r="X43" t="str">
            <v>хорошее</v>
          </cell>
          <cell r="Y43">
            <v>0.2</v>
          </cell>
          <cell r="Z43">
            <v>470615.75949384097</v>
          </cell>
          <cell r="AA43">
            <v>9227.7599900753139</v>
          </cell>
          <cell r="AB43">
            <v>2.0666254006536522</v>
          </cell>
          <cell r="AC43" t="str">
            <v>Соответствует</v>
          </cell>
          <cell r="AD43" t="str">
            <v>Не рассчитывалась</v>
          </cell>
          <cell r="AE43" t="str">
            <v>Не рассчитывалась</v>
          </cell>
          <cell r="AF43" t="e">
            <v>#VALUE!</v>
          </cell>
          <cell r="AG43">
            <v>51</v>
          </cell>
          <cell r="AH43">
            <v>0</v>
          </cell>
          <cell r="AI43">
            <v>0</v>
          </cell>
          <cell r="AL43">
            <v>470615.75949384097</v>
          </cell>
          <cell r="AM43" t="str">
            <v>Экспертно</v>
          </cell>
        </row>
        <row r="44">
          <cell r="A44">
            <v>58</v>
          </cell>
          <cell r="B44">
            <v>414</v>
          </cell>
          <cell r="C44" t="str">
            <v>Корнеплодоовощехранилище (Зернохранилище (200) Об.S-1806,5 кв.м.МТФ№3 Литер Ж Кад№ 23:11:0702000:754</v>
          </cell>
          <cell r="D44">
            <v>30665</v>
          </cell>
          <cell r="E44">
            <v>30665</v>
          </cell>
          <cell r="F44">
            <v>747325</v>
          </cell>
          <cell r="G44">
            <v>13.261762999999998</v>
          </cell>
          <cell r="H44">
            <v>9910847.0339749996</v>
          </cell>
          <cell r="I44">
            <v>32.065753424657537</v>
          </cell>
          <cell r="J44" t="str">
            <v>железобетонные панели</v>
          </cell>
          <cell r="K44">
            <v>0</v>
          </cell>
          <cell r="L44">
            <v>50</v>
          </cell>
          <cell r="M44">
            <v>0.64131506849315079</v>
          </cell>
          <cell r="N44">
            <v>0</v>
          </cell>
          <cell r="O44">
            <v>0</v>
          </cell>
          <cell r="P44">
            <v>0.64131506849315079</v>
          </cell>
          <cell r="Q44">
            <v>467078.24</v>
          </cell>
          <cell r="R44">
            <v>143.73407188577056</v>
          </cell>
          <cell r="S44" t="str">
            <v>Не соответствует</v>
          </cell>
          <cell r="T44">
            <v>3554871</v>
          </cell>
          <cell r="U44">
            <v>1093.9411004431315</v>
          </cell>
          <cell r="V44">
            <v>7.610868363296051</v>
          </cell>
          <cell r="W44" t="str">
            <v>Не соответствует</v>
          </cell>
          <cell r="X44" t="str">
            <v>хорошее</v>
          </cell>
          <cell r="Y44">
            <v>0.3</v>
          </cell>
          <cell r="Z44">
            <v>6937592.9237824995</v>
          </cell>
          <cell r="AA44">
            <v>2134.9067343003753</v>
          </cell>
          <cell r="AB44">
            <v>14.853170902978695</v>
          </cell>
          <cell r="AC44" t="str">
            <v>Соответствует</v>
          </cell>
          <cell r="AD44" t="str">
            <v>Не рассчитывалась</v>
          </cell>
          <cell r="AE44" t="str">
            <v>Не рассчитывалась</v>
          </cell>
          <cell r="AF44" t="e">
            <v>#VALUE!</v>
          </cell>
          <cell r="AG44">
            <v>3249.6</v>
          </cell>
          <cell r="AH44" t="str">
            <v>будет использоваться</v>
          </cell>
          <cell r="AI44">
            <v>0</v>
          </cell>
          <cell r="AL44">
            <v>6937592.9237824995</v>
          </cell>
          <cell r="AM44" t="str">
            <v>Экспертно</v>
          </cell>
        </row>
        <row r="45">
          <cell r="A45">
            <v>59</v>
          </cell>
          <cell r="B45">
            <v>317</v>
          </cell>
          <cell r="C45" t="str">
            <v>Корнеплодохранилище  (Зернохранилище(271) бр2) Об.S-1805,3 кв.м. Литер З Кад№ 23:11:0607000:1664</v>
          </cell>
          <cell r="D45">
            <v>29935</v>
          </cell>
          <cell r="E45">
            <v>29935</v>
          </cell>
          <cell r="F45">
            <v>495230</v>
          </cell>
          <cell r="G45">
            <v>13.261762999999998</v>
          </cell>
          <cell r="H45">
            <v>6567622.8904899992</v>
          </cell>
          <cell r="I45">
            <v>34.065753424657537</v>
          </cell>
          <cell r="J45" t="str">
            <v>железобетонные панели</v>
          </cell>
          <cell r="K45">
            <v>0</v>
          </cell>
          <cell r="L45">
            <v>60</v>
          </cell>
          <cell r="M45">
            <v>0.56776255707762557</v>
          </cell>
          <cell r="N45">
            <v>0</v>
          </cell>
          <cell r="O45">
            <v>0</v>
          </cell>
          <cell r="P45">
            <v>0.56776255707762557</v>
          </cell>
          <cell r="Q45">
            <v>309518.64</v>
          </cell>
          <cell r="R45">
            <v>171.44997507339502</v>
          </cell>
          <cell r="S45" t="str">
            <v>Не соответствует</v>
          </cell>
          <cell r="T45">
            <v>2838773</v>
          </cell>
          <cell r="U45">
            <v>1572.4660721209771</v>
          </cell>
          <cell r="V45">
            <v>9.1715736409283775</v>
          </cell>
          <cell r="W45" t="str">
            <v>Не соответствует</v>
          </cell>
          <cell r="X45" t="str">
            <v>хорошее</v>
          </cell>
          <cell r="Y45">
            <v>0.2</v>
          </cell>
          <cell r="Z45">
            <v>5254098.3123920001</v>
          </cell>
          <cell r="AA45">
            <v>2910.3740721165459</v>
          </cell>
          <cell r="AB45">
            <v>16.97506267277473</v>
          </cell>
          <cell r="AC45" t="str">
            <v>Соответствует</v>
          </cell>
          <cell r="AD45" t="str">
            <v>Не рассчитывалась</v>
          </cell>
          <cell r="AE45" t="str">
            <v>Не рассчитывалась</v>
          </cell>
          <cell r="AF45" t="e">
            <v>#VALUE!</v>
          </cell>
          <cell r="AG45">
            <v>1805.3</v>
          </cell>
          <cell r="AH45" t="str">
            <v>будет использоваться</v>
          </cell>
          <cell r="AI45">
            <v>0</v>
          </cell>
          <cell r="AL45">
            <v>5254098.3123920001</v>
          </cell>
          <cell r="AM45" t="str">
            <v>Экспертно</v>
          </cell>
        </row>
        <row r="46">
          <cell r="A46">
            <v>67</v>
          </cell>
          <cell r="B46">
            <v>362</v>
          </cell>
          <cell r="C46" t="str">
            <v>Коровник на 400 гол Об.пл. 2457,4кв.м.(144)МТФ№1ЛитерВ Усл№ 000:03:220:001:015435930:0003</v>
          </cell>
          <cell r="D46">
            <v>29204</v>
          </cell>
          <cell r="E46">
            <v>29204</v>
          </cell>
          <cell r="F46">
            <v>2210976.94</v>
          </cell>
          <cell r="G46">
            <v>13.261762999999998</v>
          </cell>
          <cell r="H46">
            <v>29321452.176745217</v>
          </cell>
          <cell r="I46">
            <v>36.06849315068493</v>
          </cell>
          <cell r="J46" t="str">
            <v>кирпичное</v>
          </cell>
          <cell r="K46">
            <v>0</v>
          </cell>
          <cell r="L46">
            <v>60</v>
          </cell>
          <cell r="M46">
            <v>0.60114155251141554</v>
          </cell>
          <cell r="N46">
            <v>0</v>
          </cell>
          <cell r="O46">
            <v>0</v>
          </cell>
          <cell r="P46">
            <v>0.60114155251141554</v>
          </cell>
          <cell r="Q46">
            <v>1381860.54</v>
          </cell>
          <cell r="R46">
            <v>562.32625539187757</v>
          </cell>
          <cell r="S46" t="str">
            <v>Не соответствует</v>
          </cell>
          <cell r="T46">
            <v>11695109</v>
          </cell>
          <cell r="U46">
            <v>4759.1393342557176</v>
          </cell>
          <cell r="V46">
            <v>8.463306289938636</v>
          </cell>
          <cell r="W46" t="str">
            <v>Соответствует</v>
          </cell>
          <cell r="X46" t="str">
            <v>хорошее</v>
          </cell>
          <cell r="Y46">
            <v>0.3</v>
          </cell>
          <cell r="Z46">
            <v>20525016.52372165</v>
          </cell>
          <cell r="AA46">
            <v>8352.3303181092415</v>
          </cell>
          <cell r="AB46">
            <v>14.853175070562221</v>
          </cell>
          <cell r="AC46" t="str">
            <v>Не соответствует</v>
          </cell>
          <cell r="AD46" t="str">
            <v>Не рассчитывалась</v>
          </cell>
          <cell r="AE46" t="str">
            <v>Не рассчитывалась</v>
          </cell>
          <cell r="AF46" t="e">
            <v>#VALUE!</v>
          </cell>
          <cell r="AG46">
            <v>2457.4</v>
          </cell>
          <cell r="AH46" t="str">
            <v>будет использоваться</v>
          </cell>
          <cell r="AI46">
            <v>0</v>
          </cell>
          <cell r="AL46">
            <v>11695109</v>
          </cell>
          <cell r="AM46" t="str">
            <v>По сроку службы</v>
          </cell>
        </row>
        <row r="47">
          <cell r="A47">
            <v>69</v>
          </cell>
          <cell r="B47">
            <v>350</v>
          </cell>
          <cell r="C47" t="str">
            <v>Коровник-5 на 100 гол №146 МТФ №1  ЛитерЕ Об.пл. 779,5 кв.м Усл. номер 000:03:220:001:015435930:0005</v>
          </cell>
          <cell r="D47">
            <v>20804</v>
          </cell>
          <cell r="E47">
            <v>20804</v>
          </cell>
          <cell r="F47">
            <v>869820.66</v>
          </cell>
          <cell r="G47">
            <v>13.261762999999998</v>
          </cell>
          <cell r="H47">
            <v>11535355.445423579</v>
          </cell>
          <cell r="I47">
            <v>59.082191780821915</v>
          </cell>
          <cell r="J47" t="str">
            <v>кирпичное</v>
          </cell>
          <cell r="K47">
            <v>0</v>
          </cell>
          <cell r="L47">
            <v>60</v>
          </cell>
          <cell r="M47">
            <v>0.8</v>
          </cell>
          <cell r="N47">
            <v>0</v>
          </cell>
          <cell r="O47">
            <v>0</v>
          </cell>
          <cell r="P47">
            <v>0.8</v>
          </cell>
          <cell r="Q47">
            <v>561070.14</v>
          </cell>
          <cell r="R47">
            <v>719.78209108402825</v>
          </cell>
          <cell r="S47" t="str">
            <v>Не соответствует</v>
          </cell>
          <cell r="T47">
            <v>2307071</v>
          </cell>
          <cell r="U47">
            <v>2959.6805644644</v>
          </cell>
          <cell r="V47">
            <v>4.1119119260205146</v>
          </cell>
          <cell r="W47" t="str">
            <v>Соответствует</v>
          </cell>
          <cell r="X47" t="str">
            <v>удовлетворительное</v>
          </cell>
          <cell r="Y47">
            <v>0.5</v>
          </cell>
          <cell r="Z47">
            <v>5767677.7227117894</v>
          </cell>
          <cell r="AA47">
            <v>7399.2016968720836</v>
          </cell>
          <cell r="AB47">
            <v>10.279780211992371</v>
          </cell>
          <cell r="AC47" t="str">
            <v>Не соответствует</v>
          </cell>
          <cell r="AD47" t="str">
            <v>Не рассчитывалась</v>
          </cell>
          <cell r="AE47" t="str">
            <v>Не рассчитывалась</v>
          </cell>
          <cell r="AF47" t="e">
            <v>#VALUE!</v>
          </cell>
          <cell r="AG47">
            <v>779.5</v>
          </cell>
          <cell r="AH47" t="str">
            <v>ликвидация</v>
          </cell>
          <cell r="AI47">
            <v>0</v>
          </cell>
          <cell r="AL47">
            <v>0</v>
          </cell>
          <cell r="AM47" t="str">
            <v>Не рассчитывалась</v>
          </cell>
        </row>
        <row r="48">
          <cell r="A48">
            <v>70</v>
          </cell>
          <cell r="B48">
            <v>349</v>
          </cell>
          <cell r="C48" t="str">
            <v>Коровник-6 на 200 гол №145 МТФ №1  Литер Д Об.пл.796,2 кв.м. Усл№ 000:03:220:001:015435930:0004</v>
          </cell>
          <cell r="D48">
            <v>25187</v>
          </cell>
          <cell r="E48">
            <v>25187</v>
          </cell>
          <cell r="F48">
            <v>2168287.6</v>
          </cell>
          <cell r="G48">
            <v>13.261762999999998</v>
          </cell>
          <cell r="H48">
            <v>28755316.267038796</v>
          </cell>
          <cell r="I48">
            <v>47.073972602739723</v>
          </cell>
          <cell r="J48" t="str">
            <v>кирпичное</v>
          </cell>
          <cell r="K48">
            <v>0</v>
          </cell>
          <cell r="L48">
            <v>60</v>
          </cell>
          <cell r="M48">
            <v>0.78456621004566207</v>
          </cell>
          <cell r="N48">
            <v>0</v>
          </cell>
          <cell r="O48">
            <v>0</v>
          </cell>
          <cell r="P48">
            <v>0.78456621004566207</v>
          </cell>
          <cell r="Q48">
            <v>1590840.2800000003</v>
          </cell>
          <cell r="R48">
            <v>1998.0410449635772</v>
          </cell>
          <cell r="S48" t="str">
            <v>Соответствует</v>
          </cell>
          <cell r="T48">
            <v>6194867</v>
          </cell>
          <cell r="U48">
            <v>7780.5413212760604</v>
          </cell>
          <cell r="V48">
            <v>3.8940848291822223</v>
          </cell>
          <cell r="W48" t="str">
            <v>Не соответствует</v>
          </cell>
          <cell r="X48" t="str">
            <v>удовлетворительное</v>
          </cell>
          <cell r="Y48">
            <v>0.5</v>
          </cell>
          <cell r="Z48">
            <v>14377658.133519398</v>
          </cell>
          <cell r="AA48">
            <v>18057.847442249935</v>
          </cell>
          <cell r="AB48">
            <v>9.0377760195507477</v>
          </cell>
          <cell r="AC48" t="str">
            <v>Не соответствует</v>
          </cell>
          <cell r="AD48" t="str">
            <v>Не рассчитывалась</v>
          </cell>
          <cell r="AE48" t="str">
            <v>Не рассчитывалась</v>
          </cell>
          <cell r="AF48" t="e">
            <v>#VALUE!</v>
          </cell>
          <cell r="AG48">
            <v>796.2</v>
          </cell>
          <cell r="AH48" t="str">
            <v>ликвидация</v>
          </cell>
          <cell r="AI48">
            <v>0</v>
          </cell>
          <cell r="AL48">
            <v>0</v>
          </cell>
          <cell r="AM48" t="str">
            <v>Не рассчитывалась</v>
          </cell>
        </row>
        <row r="49">
          <cell r="A49">
            <v>71</v>
          </cell>
          <cell r="B49">
            <v>357</v>
          </cell>
          <cell r="C49" t="str">
            <v>Корпус  4-х рядн Об.пл.-830,7 кв.м. ЛитерЩ,щ(Корпус для сод.лошадей  СТФ)Кад№ 23:11:0702000:763</v>
          </cell>
          <cell r="D49">
            <v>24456</v>
          </cell>
          <cell r="E49">
            <v>24456</v>
          </cell>
          <cell r="F49">
            <v>70691</v>
          </cell>
          <cell r="G49">
            <v>13.261762999999998</v>
          </cell>
          <cell r="H49">
            <v>937487.28823299985</v>
          </cell>
          <cell r="I49">
            <v>49.076712328767123</v>
          </cell>
          <cell r="J49" t="str">
            <v>каменные</v>
          </cell>
          <cell r="K49">
            <v>0</v>
          </cell>
          <cell r="L49">
            <v>60</v>
          </cell>
          <cell r="M49">
            <v>0.8</v>
          </cell>
          <cell r="N49">
            <v>0</v>
          </cell>
          <cell r="O49">
            <v>0</v>
          </cell>
          <cell r="P49">
            <v>0.8</v>
          </cell>
          <cell r="Q49">
            <v>0.52000000000407454</v>
          </cell>
          <cell r="R49">
            <v>6.2597809077172804E-4</v>
          </cell>
          <cell r="S49">
            <v>0</v>
          </cell>
          <cell r="T49">
            <v>187497</v>
          </cell>
          <cell r="U49">
            <v>225.70964247020584</v>
          </cell>
          <cell r="V49">
            <v>360571.15384332853</v>
          </cell>
          <cell r="W49">
            <v>0</v>
          </cell>
          <cell r="X49">
            <v>0</v>
          </cell>
          <cell r="Y49">
            <v>0</v>
          </cell>
          <cell r="Z49" t="str">
            <v/>
          </cell>
          <cell r="AA49" t="str">
            <v/>
          </cell>
          <cell r="AB49" t="e">
            <v>#VALUE!</v>
          </cell>
          <cell r="AC49">
            <v>0</v>
          </cell>
          <cell r="AD49" t="str">
            <v>Не рассчитывалась</v>
          </cell>
          <cell r="AE49" t="str">
            <v>Не рассчитывалась</v>
          </cell>
          <cell r="AF49" t="e">
            <v>#VALUE!</v>
          </cell>
          <cell r="AG49">
            <v>830.7</v>
          </cell>
          <cell r="AH49" t="str">
            <v>ликвидация</v>
          </cell>
          <cell r="AI49" t="str">
            <v>Уточнить состояние по фото</v>
          </cell>
          <cell r="AL49">
            <v>0</v>
          </cell>
          <cell r="AM49" t="str">
            <v>Не рассчитывалась</v>
          </cell>
        </row>
        <row r="50">
          <cell r="A50">
            <v>72</v>
          </cell>
          <cell r="B50">
            <v>370</v>
          </cell>
          <cell r="C50" t="str">
            <v>Корпус -Маточник  (118) СТФ  Литер Ч об.пл.710,6 кв.м. Кад№ 23:11:0607000:1638</v>
          </cell>
          <cell r="D50">
            <v>37970</v>
          </cell>
          <cell r="E50">
            <v>37970</v>
          </cell>
          <cell r="F50">
            <v>1239920</v>
          </cell>
          <cell r="G50">
            <v>3.9624261943102521</v>
          </cell>
          <cell r="H50">
            <v>4913091.4868491674</v>
          </cell>
          <cell r="I50">
            <v>12.052054794520547</v>
          </cell>
          <cell r="J50" t="str">
            <v>каменные</v>
          </cell>
          <cell r="K50">
            <v>0</v>
          </cell>
          <cell r="L50">
            <v>60</v>
          </cell>
          <cell r="M50">
            <v>0.20086757990867579</v>
          </cell>
          <cell r="N50">
            <v>0</v>
          </cell>
          <cell r="O50">
            <v>0</v>
          </cell>
          <cell r="P50">
            <v>0.20086757990867576</v>
          </cell>
          <cell r="Q50">
            <v>958354.51</v>
          </cell>
          <cell r="R50">
            <v>1348.6553757388122</v>
          </cell>
          <cell r="S50">
            <v>0</v>
          </cell>
          <cell r="T50">
            <v>3926211</v>
          </cell>
          <cell r="U50">
            <v>5525.2054601745003</v>
          </cell>
          <cell r="V50">
            <v>4.0968252969352648</v>
          </cell>
          <cell r="W50">
            <v>0</v>
          </cell>
          <cell r="X50">
            <v>0</v>
          </cell>
          <cell r="Y50">
            <v>0</v>
          </cell>
          <cell r="Z50" t="str">
            <v/>
          </cell>
          <cell r="AA50" t="str">
            <v/>
          </cell>
          <cell r="AB50" t="e">
            <v>#VALUE!</v>
          </cell>
          <cell r="AC50">
            <v>0</v>
          </cell>
          <cell r="AD50" t="str">
            <v>Не рассчитывалась</v>
          </cell>
          <cell r="AE50" t="str">
            <v>Не рассчитывалась</v>
          </cell>
          <cell r="AF50" t="e">
            <v>#VALUE!</v>
          </cell>
          <cell r="AG50">
            <v>710.6</v>
          </cell>
          <cell r="AH50" t="str">
            <v>ликвидация</v>
          </cell>
          <cell r="AI50">
            <v>0</v>
          </cell>
          <cell r="AL50">
            <v>0</v>
          </cell>
          <cell r="AM50" t="str">
            <v>Не рассчитывалась</v>
          </cell>
        </row>
        <row r="51">
          <cell r="A51">
            <v>73</v>
          </cell>
          <cell r="B51">
            <v>360</v>
          </cell>
          <cell r="C51" t="str">
            <v>Корпус №2 Об.пл. 798,4 кв.м. Литер Э (Свинарник откормочник на 3000 гол, СТФ) Кад№ 23:11:0702000:752</v>
          </cell>
          <cell r="D51">
            <v>36875</v>
          </cell>
          <cell r="E51">
            <v>36875</v>
          </cell>
          <cell r="F51">
            <v>866579</v>
          </cell>
          <cell r="G51">
            <v>6.8542246982358401</v>
          </cell>
          <cell r="H51">
            <v>5939727.1847725157</v>
          </cell>
          <cell r="I51">
            <v>15.052054794520547</v>
          </cell>
          <cell r="J51" t="str">
            <v>каменные</v>
          </cell>
          <cell r="K51">
            <v>0</v>
          </cell>
          <cell r="L51">
            <v>60</v>
          </cell>
          <cell r="M51">
            <v>0.25086757990867581</v>
          </cell>
          <cell r="N51">
            <v>0</v>
          </cell>
          <cell r="O51">
            <v>0</v>
          </cell>
          <cell r="P51">
            <v>0.25086757990867581</v>
          </cell>
          <cell r="Q51">
            <v>604800.11</v>
          </cell>
          <cell r="R51">
            <v>757.51516783567138</v>
          </cell>
          <cell r="S51" t="str">
            <v>Не соответствует</v>
          </cell>
          <cell r="T51">
            <v>4449642</v>
          </cell>
          <cell r="U51">
            <v>5573.1988977955916</v>
          </cell>
          <cell r="V51">
            <v>7.3572109634702283</v>
          </cell>
          <cell r="W51" t="str">
            <v>Соответствует</v>
          </cell>
          <cell r="X51" t="str">
            <v>хорошее</v>
          </cell>
          <cell r="Y51">
            <v>0.3</v>
          </cell>
          <cell r="Z51">
            <v>4157809.0293407608</v>
          </cell>
          <cell r="AA51">
            <v>5207.6766399558628</v>
          </cell>
          <cell r="AB51">
            <v>6.8746829912791529</v>
          </cell>
          <cell r="AC51" t="str">
            <v>Соответствует</v>
          </cell>
          <cell r="AD51" t="str">
            <v>Не рассчитывалась</v>
          </cell>
          <cell r="AE51" t="str">
            <v>Не рассчитывалась</v>
          </cell>
          <cell r="AF51" t="e">
            <v>#VALUE!</v>
          </cell>
          <cell r="AG51">
            <v>798.4</v>
          </cell>
          <cell r="AH51" t="str">
            <v>будет использоваться</v>
          </cell>
          <cell r="AI51">
            <v>0</v>
          </cell>
          <cell r="AL51">
            <v>4157809.0293407608</v>
          </cell>
          <cell r="AM51" t="str">
            <v>Экспертно</v>
          </cell>
        </row>
        <row r="52">
          <cell r="A52">
            <v>76</v>
          </cell>
          <cell r="B52">
            <v>361</v>
          </cell>
          <cell r="C52" t="str">
            <v>Корпус для откорма свиней (Свинарник откормочник,СТФ ЛитерС) 1766,7кв.м.  Кад№ 23:11:0702000:766</v>
          </cell>
          <cell r="D52">
            <v>26282</v>
          </cell>
          <cell r="E52">
            <v>26282</v>
          </cell>
          <cell r="F52">
            <v>1153311</v>
          </cell>
          <cell r="G52">
            <v>13.261762999999998</v>
          </cell>
          <cell r="H52">
            <v>15294937.147292998</v>
          </cell>
          <cell r="I52">
            <v>44.073972602739723</v>
          </cell>
          <cell r="J52" t="str">
            <v>каменные</v>
          </cell>
          <cell r="K52">
            <v>0</v>
          </cell>
          <cell r="L52">
            <v>60</v>
          </cell>
          <cell r="M52">
            <v>0.73456621004566203</v>
          </cell>
          <cell r="N52">
            <v>0</v>
          </cell>
          <cell r="O52">
            <v>0</v>
          </cell>
          <cell r="P52">
            <v>0.73456621004566203</v>
          </cell>
          <cell r="Q52">
            <v>804935.19</v>
          </cell>
          <cell r="R52">
            <v>455.61509594158599</v>
          </cell>
          <cell r="S52">
            <v>0</v>
          </cell>
          <cell r="T52">
            <v>4059793</v>
          </cell>
          <cell r="U52">
            <v>2297.9526801381107</v>
          </cell>
          <cell r="V52">
            <v>5.0436271769904861</v>
          </cell>
          <cell r="W52">
            <v>0</v>
          </cell>
          <cell r="X52">
            <v>0</v>
          </cell>
          <cell r="Y52">
            <v>0</v>
          </cell>
          <cell r="Z52" t="str">
            <v/>
          </cell>
          <cell r="AA52" t="str">
            <v/>
          </cell>
          <cell r="AB52" t="e">
            <v>#VALUE!</v>
          </cell>
          <cell r="AC52">
            <v>0</v>
          </cell>
          <cell r="AD52" t="str">
            <v>Не рассчитывалась</v>
          </cell>
          <cell r="AE52" t="str">
            <v>Не рассчитывалась</v>
          </cell>
          <cell r="AF52" t="e">
            <v>#VALUE!</v>
          </cell>
          <cell r="AG52">
            <v>1766.7</v>
          </cell>
          <cell r="AH52" t="str">
            <v>ликвидация</v>
          </cell>
          <cell r="AI52">
            <v>0</v>
          </cell>
          <cell r="AL52">
            <v>0</v>
          </cell>
          <cell r="AM52" t="str">
            <v>Не рассчитывалась</v>
          </cell>
        </row>
        <row r="53">
          <cell r="A53">
            <v>77</v>
          </cell>
          <cell r="B53">
            <v>365</v>
          </cell>
          <cell r="C53" t="str">
            <v>Корпус для свиней 1796кв.м (Свинарник откорм, на-3000 гол, (114) СТФ Литер Т) Кад№ 23:11:0702000:777</v>
          </cell>
          <cell r="D53">
            <v>25917</v>
          </cell>
          <cell r="E53">
            <v>25917</v>
          </cell>
          <cell r="F53">
            <v>1201711.76</v>
          </cell>
          <cell r="G53">
            <v>13.261762999999998</v>
          </cell>
          <cell r="H53">
            <v>15936816.555432878</v>
          </cell>
          <cell r="I53">
            <v>45.073972602739723</v>
          </cell>
          <cell r="J53" t="str">
            <v>каменные</v>
          </cell>
          <cell r="K53">
            <v>0</v>
          </cell>
          <cell r="L53">
            <v>60</v>
          </cell>
          <cell r="M53">
            <v>0.75123287671232875</v>
          </cell>
          <cell r="N53">
            <v>0</v>
          </cell>
          <cell r="O53">
            <v>0</v>
          </cell>
          <cell r="P53">
            <v>0.75123287671232875</v>
          </cell>
          <cell r="Q53">
            <v>857061.22</v>
          </cell>
          <cell r="R53">
            <v>477.04620950684625</v>
          </cell>
          <cell r="S53" t="str">
            <v>Не соответствует</v>
          </cell>
          <cell r="T53">
            <v>3964556</v>
          </cell>
          <cell r="U53">
            <v>2206.6993209395528</v>
          </cell>
          <cell r="V53">
            <v>4.6257559057449829</v>
          </cell>
          <cell r="W53" t="str">
            <v>Соответствует</v>
          </cell>
          <cell r="X53" t="str">
            <v>неудовлетворительное</v>
          </cell>
          <cell r="Y53">
            <v>0.7</v>
          </cell>
          <cell r="Z53">
            <v>4781044.9666298646</v>
          </cell>
          <cell r="AA53">
            <v>2661.162733290585</v>
          </cell>
          <cell r="AB53">
            <v>5.5784171014409738</v>
          </cell>
          <cell r="AC53" t="str">
            <v>Соответствует</v>
          </cell>
          <cell r="AD53" t="str">
            <v>Не рассчитывалась</v>
          </cell>
          <cell r="AE53" t="str">
            <v>Не рассчитывалась</v>
          </cell>
          <cell r="AF53" t="e">
            <v>#VALUE!</v>
          </cell>
          <cell r="AG53">
            <v>1796.6</v>
          </cell>
          <cell r="AH53" t="str">
            <v>будет использоваться</v>
          </cell>
          <cell r="AI53">
            <v>0</v>
          </cell>
          <cell r="AL53">
            <v>3964556</v>
          </cell>
          <cell r="AM53" t="str">
            <v>По сроку службы</v>
          </cell>
        </row>
        <row r="54">
          <cell r="A54">
            <v>78</v>
          </cell>
          <cell r="B54">
            <v>364</v>
          </cell>
          <cell r="C54" t="str">
            <v>Корпус маточник 1072,30кв.м.(Свинарник откорм., на-1500 гол,СТФ Литер Л,л,л1) Кад№ 23:11:0702000:759</v>
          </cell>
          <cell r="D54">
            <v>25187</v>
          </cell>
          <cell r="E54">
            <v>25187</v>
          </cell>
          <cell r="F54">
            <v>3369569.01</v>
          </cell>
          <cell r="G54">
            <v>13.261762999999998</v>
          </cell>
          <cell r="H54">
            <v>44686425.622764625</v>
          </cell>
          <cell r="I54">
            <v>47.073972602739723</v>
          </cell>
          <cell r="J54" t="str">
            <v>каменные</v>
          </cell>
          <cell r="K54">
            <v>0</v>
          </cell>
          <cell r="L54">
            <v>60</v>
          </cell>
          <cell r="M54">
            <v>0.78456621004566207</v>
          </cell>
          <cell r="N54">
            <v>0</v>
          </cell>
          <cell r="O54">
            <v>0</v>
          </cell>
          <cell r="P54">
            <v>0.78456621004566207</v>
          </cell>
          <cell r="Q54">
            <v>0</v>
          </cell>
          <cell r="R54">
            <v>0</v>
          </cell>
          <cell r="S54">
            <v>0</v>
          </cell>
          <cell r="T54">
            <v>9626966</v>
          </cell>
          <cell r="U54">
            <v>8977.8662687680699</v>
          </cell>
          <cell r="V54" t="e">
            <v>#DIV/0!</v>
          </cell>
          <cell r="W54">
            <v>0</v>
          </cell>
          <cell r="X54">
            <v>0</v>
          </cell>
          <cell r="Y54">
            <v>0</v>
          </cell>
          <cell r="Z54" t="str">
            <v/>
          </cell>
          <cell r="AA54" t="str">
            <v/>
          </cell>
          <cell r="AB54" t="e">
            <v>#VALUE!</v>
          </cell>
          <cell r="AC54">
            <v>0</v>
          </cell>
          <cell r="AD54" t="str">
            <v>Не рассчитывалась</v>
          </cell>
          <cell r="AE54" t="str">
            <v>Не рассчитывалась</v>
          </cell>
          <cell r="AF54" t="e">
            <v>#VALUE!</v>
          </cell>
          <cell r="AG54">
            <v>1072.3</v>
          </cell>
          <cell r="AH54" t="str">
            <v>не будет использоваться</v>
          </cell>
          <cell r="AI54">
            <v>0</v>
          </cell>
          <cell r="AL54">
            <v>0</v>
          </cell>
          <cell r="AM54" t="str">
            <v>Не рассчитывалась</v>
          </cell>
        </row>
        <row r="55">
          <cell r="A55">
            <v>79</v>
          </cell>
          <cell r="B55">
            <v>368</v>
          </cell>
          <cell r="C55" t="str">
            <v>Корпус маточник 727,2кв.м(Корпус-откорм, для свиней на 117гол(121)СТФ ЛитерН) Кад№ 23:11:0702000:793</v>
          </cell>
          <cell r="D55">
            <v>37605</v>
          </cell>
          <cell r="E55">
            <v>37605</v>
          </cell>
          <cell r="F55">
            <v>1312327</v>
          </cell>
          <cell r="G55">
            <v>4.5511713933415532</v>
          </cell>
          <cell r="H55">
            <v>5972625.1011097403</v>
          </cell>
          <cell r="I55">
            <v>13.052054794520547</v>
          </cell>
          <cell r="J55" t="str">
            <v>каменные</v>
          </cell>
          <cell r="K55">
            <v>0</v>
          </cell>
          <cell r="L55">
            <v>60</v>
          </cell>
          <cell r="M55">
            <v>0.21753424657534245</v>
          </cell>
          <cell r="N55">
            <v>0</v>
          </cell>
          <cell r="O55">
            <v>0</v>
          </cell>
          <cell r="P55">
            <v>0.21753424657534248</v>
          </cell>
          <cell r="Q55">
            <v>981512.03</v>
          </cell>
          <cell r="R55">
            <v>1349.7140126512652</v>
          </cell>
          <cell r="S55">
            <v>0</v>
          </cell>
          <cell r="T55">
            <v>4673375</v>
          </cell>
          <cell r="U55">
            <v>6426.5332783278327</v>
          </cell>
          <cell r="V55">
            <v>4.7614036885518356</v>
          </cell>
          <cell r="W55">
            <v>0</v>
          </cell>
          <cell r="X55">
            <v>0</v>
          </cell>
          <cell r="Y55">
            <v>0</v>
          </cell>
          <cell r="Z55" t="str">
            <v/>
          </cell>
          <cell r="AA55" t="str">
            <v/>
          </cell>
          <cell r="AB55" t="e">
            <v>#VALUE!</v>
          </cell>
          <cell r="AC55">
            <v>0</v>
          </cell>
          <cell r="AD55" t="str">
            <v>Не рассчитывалась</v>
          </cell>
          <cell r="AE55" t="str">
            <v>Не рассчитывалась</v>
          </cell>
          <cell r="AF55" t="e">
            <v>#VALUE!</v>
          </cell>
          <cell r="AG55">
            <v>727.2</v>
          </cell>
          <cell r="AH55" t="str">
            <v>ликвидация</v>
          </cell>
          <cell r="AI55">
            <v>0</v>
          </cell>
          <cell r="AL55">
            <v>0</v>
          </cell>
          <cell r="AM55" t="str">
            <v>Не рассчитывалась</v>
          </cell>
        </row>
        <row r="56">
          <cell r="A56">
            <v>80</v>
          </cell>
          <cell r="B56">
            <v>367</v>
          </cell>
          <cell r="C56" t="str">
            <v>Корпус маточник 770,9кв.м(Корпус-откорм, для свиней на 400гол(115)СТФЛитер М) Кад№ 23:11:0702000:762</v>
          </cell>
          <cell r="D56">
            <v>37240</v>
          </cell>
          <cell r="E56">
            <v>37240</v>
          </cell>
          <cell r="F56">
            <v>410700</v>
          </cell>
          <cell r="G56">
            <v>5.4199706314243752</v>
          </cell>
          <cell r="H56">
            <v>2225981.9383259909</v>
          </cell>
          <cell r="I56">
            <v>14.052054794520547</v>
          </cell>
          <cell r="J56" t="str">
            <v>каменные</v>
          </cell>
          <cell r="K56">
            <v>0</v>
          </cell>
          <cell r="L56">
            <v>60</v>
          </cell>
          <cell r="M56">
            <v>0.23420091324200912</v>
          </cell>
          <cell r="N56">
            <v>0</v>
          </cell>
          <cell r="O56">
            <v>0</v>
          </cell>
          <cell r="P56">
            <v>0.23420091324200909</v>
          </cell>
          <cell r="Q56">
            <v>296901.89</v>
          </cell>
          <cell r="R56">
            <v>385.13671033856536</v>
          </cell>
          <cell r="S56">
            <v>0</v>
          </cell>
          <cell r="T56">
            <v>1704655</v>
          </cell>
          <cell r="U56">
            <v>2211.2530808146325</v>
          </cell>
          <cell r="V56">
            <v>5.7414757447317024</v>
          </cell>
          <cell r="W56">
            <v>0</v>
          </cell>
          <cell r="X56">
            <v>0</v>
          </cell>
          <cell r="Y56">
            <v>0</v>
          </cell>
          <cell r="Z56" t="str">
            <v/>
          </cell>
          <cell r="AA56" t="str">
            <v/>
          </cell>
          <cell r="AB56" t="e">
            <v>#VALUE!</v>
          </cell>
          <cell r="AC56">
            <v>0</v>
          </cell>
          <cell r="AD56" t="str">
            <v>Не рассчитывалась</v>
          </cell>
          <cell r="AE56" t="str">
            <v>Не рассчитывалась</v>
          </cell>
          <cell r="AF56" t="e">
            <v>#VALUE!</v>
          </cell>
          <cell r="AG56">
            <v>770.9</v>
          </cell>
          <cell r="AH56" t="str">
            <v>ликвидация</v>
          </cell>
          <cell r="AI56">
            <v>0</v>
          </cell>
          <cell r="AL56">
            <v>0</v>
          </cell>
          <cell r="AM56" t="str">
            <v>Не рассчитывалась</v>
          </cell>
        </row>
        <row r="57">
          <cell r="A57">
            <v>82</v>
          </cell>
          <cell r="B57">
            <v>373</v>
          </cell>
          <cell r="C57" t="str">
            <v>Корпус-маточник на 68 св, маток (120) СТФ  Литер Ш,ш об.пл. 472,20 кв.м. Кад№ 23:11:0607000:1637</v>
          </cell>
          <cell r="D57">
            <v>37605</v>
          </cell>
          <cell r="E57">
            <v>37605</v>
          </cell>
          <cell r="F57">
            <v>1372297.26</v>
          </cell>
          <cell r="G57">
            <v>4.5511713933415532</v>
          </cell>
          <cell r="H57">
            <v>6245560.0328729954</v>
          </cell>
          <cell r="I57">
            <v>13.052054794520547</v>
          </cell>
          <cell r="J57" t="str">
            <v>каменные</v>
          </cell>
          <cell r="K57">
            <v>0</v>
          </cell>
          <cell r="L57">
            <v>60</v>
          </cell>
          <cell r="M57">
            <v>0.21753424657534245</v>
          </cell>
          <cell r="N57">
            <v>0</v>
          </cell>
          <cell r="O57">
            <v>0</v>
          </cell>
          <cell r="P57">
            <v>0.21753424657534248</v>
          </cell>
          <cell r="Q57">
            <v>1087583.54</v>
          </cell>
          <cell r="R57">
            <v>2303.2264718339688</v>
          </cell>
          <cell r="S57">
            <v>0</v>
          </cell>
          <cell r="T57">
            <v>4886937</v>
          </cell>
          <cell r="U57">
            <v>10349.294790343076</v>
          </cell>
          <cell r="V57">
            <v>4.4933899974249334</v>
          </cell>
          <cell r="W57">
            <v>0</v>
          </cell>
          <cell r="X57">
            <v>0</v>
          </cell>
          <cell r="Y57">
            <v>0</v>
          </cell>
          <cell r="Z57" t="str">
            <v/>
          </cell>
          <cell r="AA57" t="str">
            <v/>
          </cell>
          <cell r="AB57" t="e">
            <v>#VALUE!</v>
          </cell>
          <cell r="AC57">
            <v>0</v>
          </cell>
          <cell r="AD57" t="str">
            <v>Не рассчитывалась</v>
          </cell>
          <cell r="AE57" t="str">
            <v>Не рассчитывалась</v>
          </cell>
          <cell r="AF57" t="e">
            <v>#VALUE!</v>
          </cell>
          <cell r="AG57">
            <v>472.2</v>
          </cell>
          <cell r="AH57" t="str">
            <v>ликвидация</v>
          </cell>
          <cell r="AI57">
            <v>0</v>
          </cell>
          <cell r="AL57">
            <v>0</v>
          </cell>
          <cell r="AM57" t="str">
            <v>Не рассчитывалась</v>
          </cell>
        </row>
        <row r="58">
          <cell r="A58">
            <v>83</v>
          </cell>
          <cell r="B58">
            <v>419</v>
          </cell>
          <cell r="C58" t="str">
            <v>Крытый ток бр №1 Об.S-5055,7 кв.м. Литер Д  Кад№ 23:11:0703000:519</v>
          </cell>
          <cell r="D58">
            <v>30665</v>
          </cell>
          <cell r="E58">
            <v>30665</v>
          </cell>
          <cell r="F58">
            <v>162302</v>
          </cell>
          <cell r="G58">
            <v>13.261762999999998</v>
          </cell>
          <cell r="H58">
            <v>2152410.6584259998</v>
          </cell>
          <cell r="I58">
            <v>32.065753424657537</v>
          </cell>
          <cell r="J58" t="str">
            <v>обшивка полимерным материалом</v>
          </cell>
          <cell r="K58">
            <v>0</v>
          </cell>
          <cell r="L58">
            <v>35</v>
          </cell>
          <cell r="M58">
            <v>0.8</v>
          </cell>
          <cell r="N58">
            <v>0</v>
          </cell>
          <cell r="O58">
            <v>0</v>
          </cell>
          <cell r="P58">
            <v>0.8</v>
          </cell>
          <cell r="Q58">
            <v>32460.839999999997</v>
          </cell>
          <cell r="R58">
            <v>6.4206420475898485</v>
          </cell>
          <cell r="S58" t="str">
            <v>Не соответствует</v>
          </cell>
          <cell r="T58">
            <v>430482</v>
          </cell>
          <cell r="U58">
            <v>85.147852918488041</v>
          </cell>
          <cell r="V58">
            <v>13.261579182793792</v>
          </cell>
          <cell r="W58" t="str">
            <v>Не соответствует</v>
          </cell>
          <cell r="X58" t="str">
            <v>хорошее</v>
          </cell>
          <cell r="Y58">
            <v>0.3</v>
          </cell>
          <cell r="Z58">
            <v>1506687.4608981998</v>
          </cell>
          <cell r="AA58">
            <v>298.01757637878035</v>
          </cell>
          <cell r="AB58">
            <v>46.415541338369557</v>
          </cell>
          <cell r="AC58" t="str">
            <v>Соответствует</v>
          </cell>
          <cell r="AD58" t="str">
            <v>Не рассчитывалась</v>
          </cell>
          <cell r="AE58" t="str">
            <v>Не рассчитывалась</v>
          </cell>
          <cell r="AF58" t="e">
            <v>#VALUE!</v>
          </cell>
          <cell r="AG58">
            <v>5055.7</v>
          </cell>
          <cell r="AH58" t="str">
            <v>будет использоваться</v>
          </cell>
          <cell r="AI58" t="str">
            <v>Уточнить состояние по фото</v>
          </cell>
          <cell r="AL58">
            <v>1506687.4608981998</v>
          </cell>
          <cell r="AM58" t="str">
            <v>Экспертно</v>
          </cell>
        </row>
        <row r="59">
          <cell r="A59">
            <v>84</v>
          </cell>
          <cell r="B59">
            <v>572</v>
          </cell>
          <cell r="C59" t="str">
            <v>Крытый ток Нежилое здание  (Зернохранилище бр4) Об.S-4114,3 кв.м.Литер Д Кад№ 23:11:0607000:2141</v>
          </cell>
          <cell r="D59">
            <v>37605</v>
          </cell>
          <cell r="E59">
            <v>37605</v>
          </cell>
          <cell r="F59">
            <v>5079488.5199999996</v>
          </cell>
          <cell r="G59">
            <v>4.5511713933415532</v>
          </cell>
          <cell r="H59">
            <v>23117622.845030822</v>
          </cell>
          <cell r="I59">
            <v>13.052054794520547</v>
          </cell>
          <cell r="J59" t="str">
            <v>каменные</v>
          </cell>
          <cell r="K59">
            <v>0</v>
          </cell>
          <cell r="L59">
            <v>60</v>
          </cell>
          <cell r="M59">
            <v>0.21753424657534245</v>
          </cell>
          <cell r="N59">
            <v>0</v>
          </cell>
          <cell r="O59">
            <v>0</v>
          </cell>
          <cell r="P59">
            <v>0.21753424657534248</v>
          </cell>
          <cell r="Q59">
            <v>2285769.2399999998</v>
          </cell>
          <cell r="R59">
            <v>555.56698344797405</v>
          </cell>
          <cell r="S59" t="str">
            <v>Не соответствует</v>
          </cell>
          <cell r="T59">
            <v>18088748</v>
          </cell>
          <cell r="U59">
            <v>4396.5554286269835</v>
          </cell>
          <cell r="V59">
            <v>7.9136369863827554</v>
          </cell>
          <cell r="W59" t="str">
            <v>Соответствует</v>
          </cell>
          <cell r="X59" t="str">
            <v>хорошее</v>
          </cell>
          <cell r="Y59">
            <v>0.3</v>
          </cell>
          <cell r="Z59">
            <v>16182335.991521575</v>
          </cell>
          <cell r="AA59">
            <v>3933.1930076857725</v>
          </cell>
          <cell r="AB59">
            <v>7.0796017849647743</v>
          </cell>
          <cell r="AC59" t="str">
            <v>Соответствует</v>
          </cell>
          <cell r="AD59" t="str">
            <v>Не рассчитывалась</v>
          </cell>
          <cell r="AE59" t="str">
            <v>Не рассчитывалась</v>
          </cell>
          <cell r="AF59" t="e">
            <v>#VALUE!</v>
          </cell>
          <cell r="AG59">
            <v>4114.3</v>
          </cell>
          <cell r="AH59" t="str">
            <v>будет использоваться</v>
          </cell>
          <cell r="AI59">
            <v>0</v>
          </cell>
          <cell r="AL59">
            <v>16182335.991521575</v>
          </cell>
          <cell r="AM59" t="str">
            <v>Экспертно</v>
          </cell>
        </row>
        <row r="60">
          <cell r="A60">
            <v>85</v>
          </cell>
          <cell r="B60">
            <v>1204</v>
          </cell>
          <cell r="C60" t="str">
            <v>Лесо-пилорама (Лесорама Р -635 50) Об. пл 333,3 кв.м. Литер В  Кад№ 23:11:0603070:178</v>
          </cell>
          <cell r="D60">
            <v>24821</v>
          </cell>
          <cell r="E60">
            <v>24821</v>
          </cell>
          <cell r="F60">
            <v>7000</v>
          </cell>
          <cell r="G60">
            <v>13.261762999999998</v>
          </cell>
          <cell r="H60">
            <v>92832.340999999986</v>
          </cell>
          <cell r="I60">
            <v>48.076712328767123</v>
          </cell>
          <cell r="J60" t="str">
            <v>каменные</v>
          </cell>
          <cell r="K60">
            <v>0</v>
          </cell>
          <cell r="L60">
            <v>60</v>
          </cell>
          <cell r="M60">
            <v>0.8</v>
          </cell>
          <cell r="N60">
            <v>0</v>
          </cell>
          <cell r="O60">
            <v>0</v>
          </cell>
          <cell r="P60">
            <v>0.8</v>
          </cell>
          <cell r="Q60">
            <v>0</v>
          </cell>
          <cell r="R60">
            <v>0</v>
          </cell>
          <cell r="S60">
            <v>0</v>
          </cell>
          <cell r="T60">
            <v>18566</v>
          </cell>
          <cell r="U60">
            <v>55.703570357035701</v>
          </cell>
          <cell r="V60" t="e">
            <v>#DIV/0!</v>
          </cell>
          <cell r="W60">
            <v>0</v>
          </cell>
          <cell r="X60">
            <v>0</v>
          </cell>
          <cell r="Y60">
            <v>0</v>
          </cell>
          <cell r="Z60" t="str">
            <v/>
          </cell>
          <cell r="AA60" t="str">
            <v/>
          </cell>
          <cell r="AB60" t="e">
            <v>#VALUE!</v>
          </cell>
          <cell r="AC60">
            <v>0</v>
          </cell>
          <cell r="AD60" t="str">
            <v>Не рассчитывалась</v>
          </cell>
          <cell r="AE60" t="str">
            <v>Не рассчитывалась</v>
          </cell>
          <cell r="AF60" t="e">
            <v>#VALUE!</v>
          </cell>
          <cell r="AG60">
            <v>333.3</v>
          </cell>
          <cell r="AH60" t="str">
            <v>не будет использоваться</v>
          </cell>
          <cell r="AI60" t="str">
            <v>Уточнить состояние по фото</v>
          </cell>
          <cell r="AL60">
            <v>0</v>
          </cell>
          <cell r="AM60" t="str">
            <v>Не рассчитывалась</v>
          </cell>
        </row>
        <row r="61">
          <cell r="A61">
            <v>86</v>
          </cell>
          <cell r="B61">
            <v>434</v>
          </cell>
          <cell r="C61" t="str">
            <v>Мастерская  330 условных тракторов Об.S-1685,5 кв.м. Литер :А(363) МТС  Кад№ 23:11:0607000:1858</v>
          </cell>
          <cell r="D61">
            <v>32126</v>
          </cell>
          <cell r="E61">
            <v>32126</v>
          </cell>
          <cell r="F61">
            <v>1308524</v>
          </cell>
          <cell r="G61">
            <v>13.261762999999998</v>
          </cell>
          <cell r="H61">
            <v>17353335.167811997</v>
          </cell>
          <cell r="I61">
            <v>28.063013698630137</v>
          </cell>
          <cell r="J61" t="str">
            <v>кирпичные</v>
          </cell>
          <cell r="K61">
            <v>0</v>
          </cell>
          <cell r="L61">
            <v>60</v>
          </cell>
          <cell r="M61">
            <v>0.46771689497716895</v>
          </cell>
          <cell r="N61">
            <v>0</v>
          </cell>
          <cell r="O61">
            <v>0</v>
          </cell>
          <cell r="P61">
            <v>0.46771689497716895</v>
          </cell>
          <cell r="Q61">
            <v>817828.12</v>
          </cell>
          <cell r="R61">
            <v>485.21395431622665</v>
          </cell>
          <cell r="S61" t="str">
            <v>Не соответствует</v>
          </cell>
          <cell r="T61">
            <v>9236887</v>
          </cell>
          <cell r="U61">
            <v>5480.2058736280032</v>
          </cell>
          <cell r="V61">
            <v>11.294411104377287</v>
          </cell>
          <cell r="W61" t="str">
            <v>Не соответствует</v>
          </cell>
          <cell r="X61" t="str">
            <v>хорошее</v>
          </cell>
          <cell r="Y61">
            <v>0.2</v>
          </cell>
          <cell r="Z61">
            <v>13882668.134249598</v>
          </cell>
          <cell r="AA61">
            <v>8236.528112874279</v>
          </cell>
          <cell r="AB61">
            <v>16.975043771116109</v>
          </cell>
          <cell r="AC61" t="str">
            <v>Соответствует</v>
          </cell>
          <cell r="AD61" t="str">
            <v>Не рассчитывалась</v>
          </cell>
          <cell r="AE61" t="str">
            <v>Не рассчитывалась</v>
          </cell>
          <cell r="AF61" t="e">
            <v>#VALUE!</v>
          </cell>
          <cell r="AG61">
            <v>1685.5</v>
          </cell>
          <cell r="AH61" t="str">
            <v>будет использоваться</v>
          </cell>
          <cell r="AI61">
            <v>0</v>
          </cell>
          <cell r="AL61">
            <v>13882668.134249598</v>
          </cell>
          <cell r="AM61" t="str">
            <v>Экспертно</v>
          </cell>
        </row>
        <row r="62">
          <cell r="A62">
            <v>87</v>
          </cell>
          <cell r="B62">
            <v>409</v>
          </cell>
          <cell r="C62" t="str">
            <v>Навес весовой (203) МТФ№3 Об.S-261,7 кв.м.  Литер З  Кад№ 23:11:0702000:753</v>
          </cell>
          <cell r="D62">
            <v>37240</v>
          </cell>
          <cell r="E62">
            <v>37240</v>
          </cell>
          <cell r="F62">
            <v>248720</v>
          </cell>
          <cell r="G62">
            <v>5.4199706314243752</v>
          </cell>
          <cell r="H62">
            <v>1348055.0954478707</v>
          </cell>
          <cell r="I62">
            <v>14.052054794520547</v>
          </cell>
          <cell r="J62" t="str">
            <v>каменные</v>
          </cell>
          <cell r="K62">
            <v>0</v>
          </cell>
          <cell r="L62">
            <v>60</v>
          </cell>
          <cell r="M62">
            <v>0.23420091324200912</v>
          </cell>
          <cell r="N62">
            <v>0</v>
          </cell>
          <cell r="O62">
            <v>0</v>
          </cell>
          <cell r="P62">
            <v>0.23420091324200909</v>
          </cell>
          <cell r="Q62">
            <v>123156.8</v>
          </cell>
          <cell r="R62">
            <v>68.174259618045951</v>
          </cell>
          <cell r="S62" t="str">
            <v>Не соответствует</v>
          </cell>
          <cell r="T62">
            <v>1032339</v>
          </cell>
          <cell r="U62">
            <v>571.45806808746192</v>
          </cell>
          <cell r="V62">
            <v>8.3823142530497705</v>
          </cell>
          <cell r="W62" t="str">
            <v>Соответствует</v>
          </cell>
          <cell r="X62" t="str">
            <v>хорошее</v>
          </cell>
          <cell r="Y62">
            <v>0.25</v>
          </cell>
          <cell r="Z62">
            <v>1011041.3215859029</v>
          </cell>
          <cell r="AA62">
            <v>559.66859761190312</v>
          </cell>
          <cell r="AB62">
            <v>8.2093828484168387</v>
          </cell>
          <cell r="AC62" t="str">
            <v>Соответствует</v>
          </cell>
          <cell r="AD62" t="str">
            <v>Не рассчитывалась</v>
          </cell>
          <cell r="AE62" t="str">
            <v>Не рассчитывалась</v>
          </cell>
          <cell r="AF62" t="e">
            <v>#VALUE!</v>
          </cell>
          <cell r="AG62">
            <v>1806.5</v>
          </cell>
          <cell r="AH62" t="str">
            <v>будет использоваться</v>
          </cell>
          <cell r="AI62" t="str">
            <v>Уточнить состояние по фото</v>
          </cell>
          <cell r="AL62">
            <v>1011041.3215859029</v>
          </cell>
          <cell r="AM62" t="str">
            <v>Экспертно</v>
          </cell>
        </row>
        <row r="63">
          <cell r="A63">
            <v>88</v>
          </cell>
          <cell r="B63">
            <v>421</v>
          </cell>
          <cell r="C63" t="str">
            <v>Навес для хранения сельскохозяйственной техники бр2 Об.S-1657,5 кв.м  Литер В Кад№ 23:11:0702000:809</v>
          </cell>
          <cell r="D63">
            <v>33222</v>
          </cell>
          <cell r="E63">
            <v>33222</v>
          </cell>
          <cell r="F63">
            <v>5822870.9900000002</v>
          </cell>
          <cell r="G63">
            <v>13.261762999999998</v>
          </cell>
          <cell r="H63">
            <v>77221535.048955366</v>
          </cell>
          <cell r="I63">
            <v>25.06027397260274</v>
          </cell>
          <cell r="J63" t="str">
            <v>металлические</v>
          </cell>
          <cell r="K63">
            <v>0</v>
          </cell>
          <cell r="L63">
            <v>12</v>
          </cell>
          <cell r="M63">
            <v>0.8</v>
          </cell>
          <cell r="N63">
            <v>0</v>
          </cell>
          <cell r="O63">
            <v>0</v>
          </cell>
          <cell r="P63">
            <v>0.8</v>
          </cell>
          <cell r="Q63">
            <v>0</v>
          </cell>
          <cell r="R63">
            <v>0</v>
          </cell>
          <cell r="S63" t="str">
            <v>Не соответствует</v>
          </cell>
          <cell r="T63">
            <v>15444307</v>
          </cell>
          <cell r="U63">
            <v>9317.832277526395</v>
          </cell>
          <cell r="V63" t="e">
            <v>#DIV/0!</v>
          </cell>
          <cell r="W63" t="str">
            <v>Соответствует</v>
          </cell>
          <cell r="X63" t="str">
            <v>отличное</v>
          </cell>
          <cell r="Y63">
            <v>0.1</v>
          </cell>
          <cell r="Z63">
            <v>69499381.544059828</v>
          </cell>
          <cell r="AA63">
            <v>41930.245275450878</v>
          </cell>
          <cell r="AB63" t="e">
            <v>#DIV/0!</v>
          </cell>
          <cell r="AC63" t="str">
            <v>Не соответствует</v>
          </cell>
          <cell r="AD63">
            <v>3477290</v>
          </cell>
          <cell r="AE63">
            <v>2097.9125188536955</v>
          </cell>
          <cell r="AF63" t="e">
            <v>#DIV/0!</v>
          </cell>
          <cell r="AG63">
            <v>1657.5</v>
          </cell>
          <cell r="AH63" t="str">
            <v>будет использоваться</v>
          </cell>
          <cell r="AI63" t="str">
            <v>Уточнить состояние по фото</v>
          </cell>
          <cell r="AL63">
            <v>3477290</v>
          </cell>
          <cell r="AM63" t="str">
            <v>Ко-Инвест</v>
          </cell>
        </row>
        <row r="64">
          <cell r="A64">
            <v>89</v>
          </cell>
          <cell r="B64" t="str">
            <v>Ц00002244</v>
          </cell>
          <cell r="C64" t="str">
            <v>Навозохранилище с подъездом Об.пл. 8310,6кв.м. ЛитерГ3 Кад№ 23:24:0701000:754  (НП  МТФ№3)</v>
          </cell>
          <cell r="D64">
            <v>41934</v>
          </cell>
          <cell r="E64">
            <v>41934</v>
          </cell>
          <cell r="F64">
            <v>228419.44</v>
          </cell>
          <cell r="G64">
            <v>0.98663458968190321</v>
          </cell>
          <cell r="H64">
            <v>225366.52045977011</v>
          </cell>
          <cell r="I64">
            <v>1.1917808219178083</v>
          </cell>
          <cell r="J64" t="str">
            <v>бетон</v>
          </cell>
          <cell r="K64">
            <v>0</v>
          </cell>
          <cell r="L64">
            <v>50</v>
          </cell>
          <cell r="M64">
            <v>2.3835616438356168E-2</v>
          </cell>
          <cell r="N64">
            <v>0</v>
          </cell>
          <cell r="O64">
            <v>0</v>
          </cell>
          <cell r="P64">
            <v>2.3835616438356189E-2</v>
          </cell>
          <cell r="Q64">
            <v>141990.44</v>
          </cell>
          <cell r="R64">
            <v>17.085461940172792</v>
          </cell>
          <cell r="S64" t="str">
            <v>Соответствует</v>
          </cell>
          <cell r="T64">
            <v>219995</v>
          </cell>
          <cell r="U64">
            <v>26.471614564532043</v>
          </cell>
          <cell r="V64">
            <v>1.5493648727336855</v>
          </cell>
          <cell r="W64" t="str">
            <v>Соответствует</v>
          </cell>
          <cell r="X64">
            <v>0</v>
          </cell>
          <cell r="Y64">
            <v>0</v>
          </cell>
          <cell r="Z64" t="str">
            <v/>
          </cell>
          <cell r="AA64" t="str">
            <v/>
          </cell>
          <cell r="AB64" t="e">
            <v>#VALUE!</v>
          </cell>
          <cell r="AC64" t="str">
            <v>Не рассчитывалась</v>
          </cell>
          <cell r="AD64" t="str">
            <v>Не рассчитывалась</v>
          </cell>
          <cell r="AE64" t="str">
            <v>Не рассчитывалась</v>
          </cell>
          <cell r="AF64" t="e">
            <v>#VALUE!</v>
          </cell>
          <cell r="AG64">
            <v>8310.6</v>
          </cell>
          <cell r="AH64">
            <v>0</v>
          </cell>
          <cell r="AI64" t="str">
            <v>Уточнить состояние по фото</v>
          </cell>
          <cell r="AJ64" t="str">
            <v>Фото не предоставлено. Поскольку РС соответствует ОС, принимаем допущение о правильности расчета по сроку службы.</v>
          </cell>
          <cell r="AL64">
            <v>219995</v>
          </cell>
          <cell r="AM64" t="str">
            <v>По сроку службы</v>
          </cell>
        </row>
        <row r="65">
          <cell r="A65">
            <v>90</v>
          </cell>
          <cell r="B65">
            <v>520</v>
          </cell>
          <cell r="C65" t="str">
            <v>Нежилое здание  Об.пл. 230 кв.м. Кад № 23:11:0702000:888</v>
          </cell>
          <cell r="D65">
            <v>22995</v>
          </cell>
          <cell r="E65">
            <v>22995</v>
          </cell>
          <cell r="F65">
            <v>19890</v>
          </cell>
          <cell r="G65">
            <v>13.261762999999998</v>
          </cell>
          <cell r="H65">
            <v>263776.46606999997</v>
          </cell>
          <cell r="I65">
            <v>53.079452054794523</v>
          </cell>
          <cell r="J65" t="str">
            <v>кирпичные</v>
          </cell>
          <cell r="K65">
            <v>0</v>
          </cell>
          <cell r="L65">
            <v>60</v>
          </cell>
          <cell r="M65">
            <v>0.8</v>
          </cell>
          <cell r="N65">
            <v>0</v>
          </cell>
          <cell r="O65">
            <v>0</v>
          </cell>
          <cell r="P65">
            <v>0.8</v>
          </cell>
          <cell r="Q65">
            <v>0</v>
          </cell>
          <cell r="R65">
            <v>0</v>
          </cell>
          <cell r="S65">
            <v>0</v>
          </cell>
          <cell r="T65">
            <v>52755</v>
          </cell>
          <cell r="U65">
            <v>229.36956521739131</v>
          </cell>
          <cell r="V65" t="e">
            <v>#DIV/0!</v>
          </cell>
          <cell r="W65">
            <v>0</v>
          </cell>
          <cell r="X65">
            <v>0</v>
          </cell>
          <cell r="Y65">
            <v>0</v>
          </cell>
          <cell r="Z65" t="str">
            <v/>
          </cell>
          <cell r="AA65" t="str">
            <v/>
          </cell>
          <cell r="AB65" t="e">
            <v>#VALUE!</v>
          </cell>
          <cell r="AC65">
            <v>0</v>
          </cell>
          <cell r="AD65" t="str">
            <v>Не рассчитывалась</v>
          </cell>
          <cell r="AE65" t="str">
            <v>Не рассчитывалась</v>
          </cell>
          <cell r="AF65" t="e">
            <v>#VALUE!</v>
          </cell>
          <cell r="AG65">
            <v>230</v>
          </cell>
          <cell r="AH65" t="str">
            <v>не будет использоваться</v>
          </cell>
          <cell r="AI65" t="str">
            <v>Уточнить состояние по фото</v>
          </cell>
          <cell r="AL65">
            <v>0</v>
          </cell>
          <cell r="AM65" t="str">
            <v>Не рассчитывалась</v>
          </cell>
        </row>
        <row r="66">
          <cell r="A66">
            <v>91</v>
          </cell>
          <cell r="B66" t="str">
            <v>Ц00002236</v>
          </cell>
          <cell r="C66" t="str">
            <v>Нежилое здание  Об.пл.3327,4кв.м.(Молочный блок) Кад№ 23:24:0701000:793   (НП  МТФ№3)</v>
          </cell>
          <cell r="D66">
            <v>41934</v>
          </cell>
          <cell r="E66">
            <v>41934</v>
          </cell>
          <cell r="F66">
            <v>777551.55</v>
          </cell>
          <cell r="G66">
            <v>0.98663458968190321</v>
          </cell>
          <cell r="H66">
            <v>767159.25449077785</v>
          </cell>
          <cell r="I66">
            <v>1.1917808219178083</v>
          </cell>
          <cell r="J66" t="str">
            <v>кирпичные</v>
          </cell>
          <cell r="K66">
            <v>0</v>
          </cell>
          <cell r="L66">
            <v>60</v>
          </cell>
          <cell r="M66">
            <v>1.9863013698630139E-2</v>
          </cell>
          <cell r="N66">
            <v>0</v>
          </cell>
          <cell r="O66">
            <v>0</v>
          </cell>
          <cell r="P66">
            <v>1.9863013698630194E-2</v>
          </cell>
          <cell r="Q66">
            <v>599097.05000000005</v>
          </cell>
          <cell r="R66">
            <v>180.04960329386307</v>
          </cell>
          <cell r="S66" t="str">
            <v>Соответствует</v>
          </cell>
          <cell r="T66">
            <v>751921</v>
          </cell>
          <cell r="U66">
            <v>225.97854180441183</v>
          </cell>
          <cell r="V66">
            <v>1.255090473238017</v>
          </cell>
          <cell r="W66" t="str">
            <v>Соответствует</v>
          </cell>
          <cell r="X66" t="str">
            <v>неудовлетворительное</v>
          </cell>
          <cell r="Y66">
            <v>0.75</v>
          </cell>
          <cell r="Z66">
            <v>191789.81362269446</v>
          </cell>
          <cell r="AA66">
            <v>57.639542472409225</v>
          </cell>
          <cell r="AB66">
            <v>0.32013146054165087</v>
          </cell>
          <cell r="AC66" t="str">
            <v>Не соответствует</v>
          </cell>
          <cell r="AD66" t="str">
            <v>Не рассчитывалась</v>
          </cell>
          <cell r="AE66" t="str">
            <v>Не рассчитывалась</v>
          </cell>
          <cell r="AF66" t="e">
            <v>#VALUE!</v>
          </cell>
          <cell r="AG66">
            <v>3327.4</v>
          </cell>
          <cell r="AH66">
            <v>0</v>
          </cell>
          <cell r="AI66" t="str">
            <v>Уточнить состояние по фото</v>
          </cell>
          <cell r="AL66">
            <v>751921</v>
          </cell>
          <cell r="AM66" t="str">
            <v>По сроку службы</v>
          </cell>
        </row>
        <row r="67">
          <cell r="A67">
            <v>92</v>
          </cell>
          <cell r="B67" t="str">
            <v>Ц00001724</v>
          </cell>
          <cell r="C67" t="str">
            <v>Нежилое здание  Об.пл.90кв.м.(мехток№1) Кад№ 23:11:0902000:273 Литер Б (КС  МТФ№1мельница)</v>
          </cell>
          <cell r="D67">
            <v>41929</v>
          </cell>
          <cell r="E67">
            <v>41929</v>
          </cell>
          <cell r="F67">
            <v>5193.13</v>
          </cell>
          <cell r="G67">
            <v>0.98663458968190321</v>
          </cell>
          <cell r="H67">
            <v>5123.7216867147818</v>
          </cell>
          <cell r="I67">
            <v>1.2054794520547945</v>
          </cell>
          <cell r="J67" t="str">
            <v>металлические</v>
          </cell>
          <cell r="K67">
            <v>0</v>
          </cell>
          <cell r="L67">
            <v>35</v>
          </cell>
          <cell r="M67">
            <v>3.444227005870841E-2</v>
          </cell>
          <cell r="N67">
            <v>0</v>
          </cell>
          <cell r="O67">
            <v>0</v>
          </cell>
          <cell r="P67">
            <v>3.4442270058708369E-2</v>
          </cell>
          <cell r="Q67">
            <v>4592.25</v>
          </cell>
          <cell r="R67">
            <v>51.024999999999999</v>
          </cell>
          <cell r="S67" t="str">
            <v>Соответствует</v>
          </cell>
          <cell r="T67">
            <v>4947</v>
          </cell>
          <cell r="U67">
            <v>54.966666666666669</v>
          </cell>
          <cell r="V67">
            <v>1.0772497141923894</v>
          </cell>
          <cell r="W67" t="str">
            <v>Соответствует</v>
          </cell>
          <cell r="X67" t="str">
            <v>отличное</v>
          </cell>
          <cell r="Y67">
            <v>0.05</v>
          </cell>
          <cell r="Z67">
            <v>4867.5356023790428</v>
          </cell>
          <cell r="AA67">
            <v>54.083728915322695</v>
          </cell>
          <cell r="AB67">
            <v>1.0599456916280783</v>
          </cell>
          <cell r="AC67" t="str">
            <v>Соответствует</v>
          </cell>
          <cell r="AD67" t="str">
            <v>Не рассчитывалась</v>
          </cell>
          <cell r="AE67" t="str">
            <v>Не рассчитывалась</v>
          </cell>
          <cell r="AF67" t="e">
            <v>#VALUE!</v>
          </cell>
          <cell r="AG67">
            <v>90</v>
          </cell>
          <cell r="AH67">
            <v>0</v>
          </cell>
          <cell r="AI67" t="str">
            <v>Уточнить состояние по фото</v>
          </cell>
          <cell r="AJ67" t="str">
            <v>Чем обусловлена столь низкая балансовая стоимость 5,2 тыс. руб. за металлический объект площадью 90 кв. м?</v>
          </cell>
          <cell r="AK67">
            <v>1</v>
          </cell>
          <cell r="AL67">
            <v>4867.5356023790428</v>
          </cell>
          <cell r="AM67" t="str">
            <v>Экспертно</v>
          </cell>
        </row>
        <row r="68">
          <cell r="A68">
            <v>100</v>
          </cell>
          <cell r="B68">
            <v>403</v>
          </cell>
          <cell r="C68" t="str">
            <v>Нежилое здание об.S-16.1кв.м. (Навес весовой (382) бр4  Литер В,в) Кад№ 23:11:0702000:865</v>
          </cell>
          <cell r="D68">
            <v>31412</v>
          </cell>
          <cell r="E68">
            <v>31412</v>
          </cell>
          <cell r="F68">
            <v>959297.46</v>
          </cell>
          <cell r="G68">
            <v>13.261762999999998</v>
          </cell>
          <cell r="H68">
            <v>12721975.561021978</v>
          </cell>
          <cell r="I68">
            <v>30.019178082191782</v>
          </cell>
          <cell r="J68" t="str">
            <v>каменные</v>
          </cell>
          <cell r="K68">
            <v>0</v>
          </cell>
          <cell r="L68">
            <v>60</v>
          </cell>
          <cell r="M68">
            <v>0.5003196347031964</v>
          </cell>
          <cell r="N68">
            <v>0</v>
          </cell>
          <cell r="O68">
            <v>0</v>
          </cell>
          <cell r="P68">
            <v>0.5003196347031964</v>
          </cell>
          <cell r="Q68">
            <v>315379.17999999993</v>
          </cell>
          <cell r="R68">
            <v>19588.768944099374</v>
          </cell>
          <cell r="S68" t="str">
            <v>Соответствует</v>
          </cell>
          <cell r="T68">
            <v>6356921</v>
          </cell>
          <cell r="U68">
            <v>394839.81366459624</v>
          </cell>
          <cell r="V68">
            <v>20.156438354618086</v>
          </cell>
          <cell r="W68" t="str">
            <v>Соответствует</v>
          </cell>
          <cell r="X68" t="str">
            <v>хорошее</v>
          </cell>
          <cell r="Y68">
            <v>0.35</v>
          </cell>
          <cell r="Z68">
            <v>8269284.1146642864</v>
          </cell>
          <cell r="AA68">
            <v>513620.13134560781</v>
          </cell>
          <cell r="AB68">
            <v>26.220133220792469</v>
          </cell>
          <cell r="AC68" t="str">
            <v>Не соответствует</v>
          </cell>
          <cell r="AD68" t="str">
            <v>Не рассчитывалась</v>
          </cell>
          <cell r="AE68" t="str">
            <v>Не рассчитывалась</v>
          </cell>
          <cell r="AF68" t="e">
            <v>#VALUE!</v>
          </cell>
          <cell r="AG68">
            <v>16.100000000000001</v>
          </cell>
          <cell r="AH68" t="str">
            <v>будет использоваться</v>
          </cell>
          <cell r="AI68" t="str">
            <v>Возможно с оборудованием? Уточнить состояние по фото</v>
          </cell>
          <cell r="AJ68" t="str">
            <v>Площадь навеса существенно больше 16 кв. м. Установлено 2 автовесов.</v>
          </cell>
          <cell r="AL68">
            <v>6356921</v>
          </cell>
          <cell r="AM68" t="str">
            <v>По сроку службы</v>
          </cell>
        </row>
        <row r="69">
          <cell r="A69">
            <v>101</v>
          </cell>
          <cell r="B69">
            <v>422</v>
          </cell>
          <cell r="C69" t="str">
            <v>Нежилое здание об.S-207,7кв.м. (Пункт тех. обслуживан. (272) бр2   Литер Л) Кад№ 23:11:0702000:811</v>
          </cell>
          <cell r="D69">
            <v>29935</v>
          </cell>
          <cell r="E69">
            <v>29935</v>
          </cell>
          <cell r="F69">
            <v>114101</v>
          </cell>
          <cell r="G69">
            <v>13.261762999999998</v>
          </cell>
          <cell r="H69">
            <v>1513180.4200629997</v>
          </cell>
          <cell r="I69">
            <v>34.065753424657537</v>
          </cell>
          <cell r="J69" t="str">
            <v>каменные</v>
          </cell>
          <cell r="K69">
            <v>0</v>
          </cell>
          <cell r="L69">
            <v>60</v>
          </cell>
          <cell r="M69">
            <v>0.56776255707762557</v>
          </cell>
          <cell r="N69">
            <v>0</v>
          </cell>
          <cell r="O69">
            <v>0</v>
          </cell>
          <cell r="P69">
            <v>0.56776255707762557</v>
          </cell>
          <cell r="Q69">
            <v>0</v>
          </cell>
          <cell r="R69">
            <v>0</v>
          </cell>
          <cell r="S69" t="str">
            <v>Не соответствует</v>
          </cell>
          <cell r="T69">
            <v>654053</v>
          </cell>
          <cell r="U69">
            <v>3149.0274434280213</v>
          </cell>
          <cell r="V69" t="e">
            <v>#DIV/0!</v>
          </cell>
          <cell r="W69" t="str">
            <v>Не соответствует</v>
          </cell>
          <cell r="X69" t="str">
            <v>хорошее</v>
          </cell>
          <cell r="Y69">
            <v>0.2</v>
          </cell>
          <cell r="Z69">
            <v>1210544.3360503998</v>
          </cell>
          <cell r="AA69">
            <v>5828.3309390967734</v>
          </cell>
          <cell r="AB69" t="e">
            <v>#DIV/0!</v>
          </cell>
          <cell r="AC69" t="str">
            <v>Соответствует</v>
          </cell>
          <cell r="AD69" t="str">
            <v>Не рассчитывалась</v>
          </cell>
          <cell r="AE69" t="str">
            <v>Не рассчитывалась</v>
          </cell>
          <cell r="AF69" t="e">
            <v>#VALUE!</v>
          </cell>
          <cell r="AG69">
            <v>207.7</v>
          </cell>
          <cell r="AH69" t="str">
            <v>будет использоваться</v>
          </cell>
          <cell r="AI69">
            <v>0</v>
          </cell>
          <cell r="AL69">
            <v>1210544.3360503998</v>
          </cell>
          <cell r="AM69" t="str">
            <v>Экспертно</v>
          </cell>
        </row>
        <row r="70">
          <cell r="A70">
            <v>102</v>
          </cell>
          <cell r="B70">
            <v>310</v>
          </cell>
          <cell r="C70" t="str">
            <v>Нежилое здание об.S-2506,7кв.м. (Мехптичник для содержания кур(134)  Литер Б) Кад№ 23:11:0702000:869</v>
          </cell>
          <cell r="D70">
            <v>37605</v>
          </cell>
          <cell r="E70">
            <v>37605</v>
          </cell>
          <cell r="F70">
            <v>475668.66</v>
          </cell>
          <cell r="G70">
            <v>4.5511713933415532</v>
          </cell>
          <cell r="H70">
            <v>2164849.5981011093</v>
          </cell>
          <cell r="I70">
            <v>13.052054794520547</v>
          </cell>
          <cell r="J70" t="str">
            <v>каменные</v>
          </cell>
          <cell r="K70">
            <v>0</v>
          </cell>
          <cell r="L70">
            <v>60</v>
          </cell>
          <cell r="M70">
            <v>0.21753424657534245</v>
          </cell>
          <cell r="N70">
            <v>0</v>
          </cell>
          <cell r="O70">
            <v>0</v>
          </cell>
          <cell r="P70">
            <v>0.21753424657534248</v>
          </cell>
          <cell r="Q70">
            <v>392426.86</v>
          </cell>
          <cell r="R70">
            <v>220.19238020424194</v>
          </cell>
          <cell r="S70">
            <v>0</v>
          </cell>
          <cell r="T70">
            <v>1693921</v>
          </cell>
          <cell r="U70">
            <v>950.46627763438448</v>
          </cell>
          <cell r="V70">
            <v>4.3165266516160488</v>
          </cell>
          <cell r="W70">
            <v>0</v>
          </cell>
          <cell r="X70">
            <v>0</v>
          </cell>
          <cell r="Y70">
            <v>0</v>
          </cell>
          <cell r="Z70" t="str">
            <v/>
          </cell>
          <cell r="AA70" t="str">
            <v/>
          </cell>
          <cell r="AB70" t="e">
            <v>#VALUE!</v>
          </cell>
          <cell r="AC70">
            <v>0</v>
          </cell>
          <cell r="AD70" t="str">
            <v>Не рассчитывалась</v>
          </cell>
          <cell r="AE70" t="str">
            <v>Не рассчитывалась</v>
          </cell>
          <cell r="AF70" t="e">
            <v>#VALUE!</v>
          </cell>
          <cell r="AG70">
            <v>1782.2</v>
          </cell>
          <cell r="AH70" t="str">
            <v>не будет использоваться</v>
          </cell>
          <cell r="AI70" t="str">
            <v>Уточнить состояние по фото</v>
          </cell>
          <cell r="AL70">
            <v>0</v>
          </cell>
          <cell r="AM70" t="str">
            <v>Не рассчитывалась</v>
          </cell>
        </row>
        <row r="71">
          <cell r="A71">
            <v>104</v>
          </cell>
          <cell r="B71">
            <v>699</v>
          </cell>
          <cell r="C71" t="str">
            <v>Нежилое здание об.S-625,3кв.м. (Кормоцех 40т/час (201)  Литер В)  Кад№ 23:11:0702000:880</v>
          </cell>
          <cell r="D71">
            <v>32857</v>
          </cell>
          <cell r="E71">
            <v>32857</v>
          </cell>
          <cell r="F71">
            <v>1966496.8</v>
          </cell>
          <cell r="G71">
            <v>13.261762999999998</v>
          </cell>
          <cell r="H71">
            <v>26079214.501858398</v>
          </cell>
          <cell r="I71">
            <v>26.06027397260274</v>
          </cell>
          <cell r="J71" t="str">
            <v>кирпичные</v>
          </cell>
          <cell r="K71">
            <v>0</v>
          </cell>
          <cell r="L71">
            <v>60</v>
          </cell>
          <cell r="M71">
            <v>0.43433789954337898</v>
          </cell>
          <cell r="N71">
            <v>0</v>
          </cell>
          <cell r="O71">
            <v>0</v>
          </cell>
          <cell r="P71">
            <v>0.43433789954337898</v>
          </cell>
          <cell r="Q71">
            <v>641272.60000000009</v>
          </cell>
          <cell r="R71">
            <v>1025.5438989285146</v>
          </cell>
          <cell r="S71" t="str">
            <v>Не соответствует</v>
          </cell>
          <cell r="T71">
            <v>14752023</v>
          </cell>
          <cell r="U71">
            <v>23591.912681912683</v>
          </cell>
          <cell r="V71">
            <v>23.004293337965784</v>
          </cell>
          <cell r="W71" t="str">
            <v>Соответствует</v>
          </cell>
          <cell r="X71" t="str">
            <v>хорошее</v>
          </cell>
          <cell r="Y71">
            <v>0.4</v>
          </cell>
          <cell r="Z71">
            <v>15647528.701115038</v>
          </cell>
          <cell r="AA71">
            <v>25024.03438527913</v>
          </cell>
          <cell r="AB71">
            <v>24.400744240616294</v>
          </cell>
          <cell r="AC71" t="str">
            <v>Соответствует</v>
          </cell>
          <cell r="AD71" t="str">
            <v>Не рассчитывалась</v>
          </cell>
          <cell r="AE71" t="str">
            <v>Не рассчитывалась</v>
          </cell>
          <cell r="AF71" t="e">
            <v>#VALUE!</v>
          </cell>
          <cell r="AG71">
            <v>625.29999999999995</v>
          </cell>
          <cell r="AH71" t="str">
            <v>будет использоваться</v>
          </cell>
          <cell r="AI71" t="str">
            <v>Возможно с оборудованием? Уточнить состояние по фото</v>
          </cell>
          <cell r="AJ71" t="str">
            <v>С оборудованием</v>
          </cell>
          <cell r="AL71">
            <v>14752023</v>
          </cell>
          <cell r="AM71" t="str">
            <v>По сроку службы</v>
          </cell>
        </row>
        <row r="72">
          <cell r="A72">
            <v>107</v>
          </cell>
          <cell r="B72" t="str">
            <v>Ц00003486</v>
          </cell>
          <cell r="C72" t="str">
            <v>Нежилое здание Об.пл. 1011,5 кв.м. Литер Д Кад№ 23:24:0701000:691 (Здание зернохранилища) (НП ФС)</v>
          </cell>
          <cell r="D72">
            <v>41974</v>
          </cell>
          <cell r="E72">
            <v>41974</v>
          </cell>
          <cell r="F72">
            <v>350615.35</v>
          </cell>
          <cell r="G72">
            <v>0.98663458968190321</v>
          </cell>
          <cell r="H72">
            <v>345929.23198342684</v>
          </cell>
          <cell r="I72">
            <v>1.0821917808219179</v>
          </cell>
          <cell r="J72" t="str">
            <v>монолитный бетон</v>
          </cell>
          <cell r="K72">
            <v>0</v>
          </cell>
          <cell r="L72">
            <v>50</v>
          </cell>
          <cell r="M72">
            <v>2.1643835616438359E-2</v>
          </cell>
          <cell r="N72">
            <v>0</v>
          </cell>
          <cell r="O72">
            <v>0</v>
          </cell>
          <cell r="P72">
            <v>2.1643835616438345E-2</v>
          </cell>
          <cell r="Q72">
            <v>315843.55</v>
          </cell>
          <cell r="R72">
            <v>312.25264458724666</v>
          </cell>
          <cell r="S72" t="str">
            <v>Соответствует</v>
          </cell>
          <cell r="T72">
            <v>338442</v>
          </cell>
          <cell r="U72">
            <v>334.59416707859617</v>
          </cell>
          <cell r="V72">
            <v>1.0715495060766635</v>
          </cell>
          <cell r="W72" t="str">
            <v>Соответствует</v>
          </cell>
          <cell r="X72" t="str">
            <v>хорошее</v>
          </cell>
          <cell r="Y72">
            <v>0.4</v>
          </cell>
          <cell r="Z72">
            <v>207557.53919005609</v>
          </cell>
          <cell r="AA72">
            <v>205.19776489377765</v>
          </cell>
          <cell r="AB72">
            <v>0.65715300879203042</v>
          </cell>
          <cell r="AC72" t="str">
            <v>Соответствует</v>
          </cell>
          <cell r="AD72" t="str">
            <v>Не рассчитывалась</v>
          </cell>
          <cell r="AE72" t="str">
            <v>Не рассчитывалась</v>
          </cell>
          <cell r="AF72" t="e">
            <v>#VALUE!</v>
          </cell>
          <cell r="AG72">
            <v>1011.5</v>
          </cell>
          <cell r="AH72">
            <v>0</v>
          </cell>
          <cell r="AI72" t="str">
            <v>Уточнить состояние по фото</v>
          </cell>
          <cell r="AJ72" t="str">
            <v>Чем обусловлена столь низкая балансовая стоимость 350 тыс. руб. за бетонный объект площадью 1011 кв. м?</v>
          </cell>
          <cell r="AK72">
            <v>1</v>
          </cell>
          <cell r="AL72">
            <v>338442</v>
          </cell>
          <cell r="AM72" t="str">
            <v>По сроку службы</v>
          </cell>
        </row>
        <row r="73">
          <cell r="A73">
            <v>108</v>
          </cell>
          <cell r="B73" t="str">
            <v>Ц00003294</v>
          </cell>
          <cell r="C73" t="str">
            <v>Нежилое здание Об.пл. 1080,8 кв.м. Литер Е Кад№ 23:24:0701000:672 (Здание зерносклада) (НП ФС)</v>
          </cell>
          <cell r="D73">
            <v>41974</v>
          </cell>
          <cell r="E73">
            <v>41974</v>
          </cell>
          <cell r="F73">
            <v>362339.36</v>
          </cell>
          <cell r="G73">
            <v>0.98663458968190321</v>
          </cell>
          <cell r="H73">
            <v>357496.54577920341</v>
          </cell>
          <cell r="I73">
            <v>1.0821917808219179</v>
          </cell>
          <cell r="J73" t="str">
            <v>бетонные плиты</v>
          </cell>
          <cell r="K73">
            <v>0</v>
          </cell>
          <cell r="L73">
            <v>50</v>
          </cell>
          <cell r="M73">
            <v>2.1643835616438359E-2</v>
          </cell>
          <cell r="N73">
            <v>0</v>
          </cell>
          <cell r="O73">
            <v>0</v>
          </cell>
          <cell r="P73">
            <v>2.1643835616438345E-2</v>
          </cell>
          <cell r="Q73">
            <v>27872.239999999991</v>
          </cell>
          <cell r="R73">
            <v>25.788527017024418</v>
          </cell>
          <cell r="S73" t="str">
            <v>Не соответствует</v>
          </cell>
          <cell r="T73">
            <v>349759</v>
          </cell>
          <cell r="U73">
            <v>323.61121391561807</v>
          </cell>
          <cell r="V73">
            <v>12.54865055696995</v>
          </cell>
          <cell r="W73" t="str">
            <v>Соответствует</v>
          </cell>
          <cell r="X73">
            <v>0</v>
          </cell>
          <cell r="Y73">
            <v>0</v>
          </cell>
          <cell r="Z73" t="str">
            <v/>
          </cell>
          <cell r="AA73" t="str">
            <v/>
          </cell>
          <cell r="AB73" t="e">
            <v>#VALUE!</v>
          </cell>
          <cell r="AC73" t="str">
            <v>Не рассчитывалась</v>
          </cell>
          <cell r="AD73" t="str">
            <v>Не рассчитывалась</v>
          </cell>
          <cell r="AE73" t="str">
            <v>Не рассчитывалась</v>
          </cell>
          <cell r="AF73" t="e">
            <v>#VALUE!</v>
          </cell>
          <cell r="AG73">
            <v>1080.8</v>
          </cell>
          <cell r="AH73" t="str">
            <v>будет использоваться</v>
          </cell>
          <cell r="AI73" t="str">
            <v>Уточнить состояние по фото</v>
          </cell>
          <cell r="AJ73" t="str">
            <v>Фото не предоставлено. Чем обусловлена столь низкая балансовая стоимость 362 тыс. руб. за бетонный объект площадью 1080 кв. м?</v>
          </cell>
          <cell r="AK73">
            <v>1</v>
          </cell>
          <cell r="AL73">
            <v>349759</v>
          </cell>
          <cell r="AM73" t="str">
            <v>По сроку службы</v>
          </cell>
        </row>
        <row r="74">
          <cell r="A74">
            <v>120</v>
          </cell>
          <cell r="B74" t="str">
            <v>Ц00003490</v>
          </cell>
          <cell r="C74" t="str">
            <v>Нежилое здание Об.пл. 154,8 кв.м.  Кад№ 23:24:0701000:667 Литер Ж (Коптильный цех) (НП ФС)</v>
          </cell>
          <cell r="D74">
            <v>41974</v>
          </cell>
          <cell r="E74">
            <v>41974</v>
          </cell>
          <cell r="F74">
            <v>139531.53</v>
          </cell>
          <cell r="G74">
            <v>0.98663458968190321</v>
          </cell>
          <cell r="H74">
            <v>137666.63384923816</v>
          </cell>
          <cell r="I74">
            <v>1.0821917808219179</v>
          </cell>
          <cell r="J74" t="str">
            <v>шлакоблоки</v>
          </cell>
          <cell r="K74">
            <v>0</v>
          </cell>
          <cell r="L74">
            <v>60</v>
          </cell>
          <cell r="M74">
            <v>1.8036529680365298E-2</v>
          </cell>
          <cell r="N74">
            <v>0</v>
          </cell>
          <cell r="O74">
            <v>0</v>
          </cell>
          <cell r="P74">
            <v>1.8036529680365287E-2</v>
          </cell>
          <cell r="Q74">
            <v>119832.93</v>
          </cell>
          <cell r="R74">
            <v>774.11453488372081</v>
          </cell>
          <cell r="S74" t="str">
            <v>Соответствует</v>
          </cell>
          <cell r="T74">
            <v>135184</v>
          </cell>
          <cell r="U74">
            <v>873.28165374676996</v>
          </cell>
          <cell r="V74">
            <v>1.1281039360382827</v>
          </cell>
          <cell r="W74" t="str">
            <v>Соответствует</v>
          </cell>
          <cell r="X74" t="str">
            <v>отличное</v>
          </cell>
          <cell r="Y74">
            <v>0.1</v>
          </cell>
          <cell r="Z74">
            <v>123899.97046431435</v>
          </cell>
          <cell r="AA74">
            <v>800.38740610022182</v>
          </cell>
          <cell r="AB74">
            <v>1.0339392557981713</v>
          </cell>
          <cell r="AC74" t="str">
            <v>Соответствует</v>
          </cell>
          <cell r="AD74" t="str">
            <v>Не рассчитывалась</v>
          </cell>
          <cell r="AE74" t="str">
            <v>Не рассчитывалась</v>
          </cell>
          <cell r="AF74" t="e">
            <v>#VALUE!</v>
          </cell>
          <cell r="AG74">
            <v>154.80000000000001</v>
          </cell>
          <cell r="AH74">
            <v>0</v>
          </cell>
          <cell r="AI74" t="str">
            <v>Уточнить состояние по фото</v>
          </cell>
          <cell r="AL74">
            <v>123899.97046431435</v>
          </cell>
          <cell r="AM74" t="str">
            <v>Экспертно</v>
          </cell>
        </row>
        <row r="75">
          <cell r="A75">
            <v>121</v>
          </cell>
          <cell r="B75" t="str">
            <v>Ц00002293</v>
          </cell>
          <cell r="C75" t="str">
            <v>Нежилое здание Об.пл. 1743,4кв.м.Лит Е (Коровник№4 для молодняка) Кад№ 23:24:0701000:704 (НП  МТФ№2)</v>
          </cell>
          <cell r="D75">
            <v>41935</v>
          </cell>
          <cell r="E75">
            <v>41935</v>
          </cell>
          <cell r="F75">
            <v>654951.67000000004</v>
          </cell>
          <cell r="G75">
            <v>0.98663458968190321</v>
          </cell>
          <cell r="H75">
            <v>646197.97219192737</v>
          </cell>
          <cell r="I75">
            <v>1.189041095890411</v>
          </cell>
          <cell r="J75" t="str">
            <v>бутовые</v>
          </cell>
          <cell r="K75">
            <v>0</v>
          </cell>
          <cell r="L75">
            <v>60</v>
          </cell>
          <cell r="M75">
            <v>1.9817351598173515E-2</v>
          </cell>
          <cell r="N75">
            <v>0</v>
          </cell>
          <cell r="O75">
            <v>0</v>
          </cell>
          <cell r="P75">
            <v>1.9817351598173549E-2</v>
          </cell>
          <cell r="Q75">
            <v>407132.07000000007</v>
          </cell>
          <cell r="R75">
            <v>233.52762991854999</v>
          </cell>
          <cell r="S75" t="str">
            <v>Соответствует</v>
          </cell>
          <cell r="T75">
            <v>633392</v>
          </cell>
          <cell r="U75">
            <v>363.30847768727773</v>
          </cell>
          <cell r="V75">
            <v>1.5557408680677007</v>
          </cell>
          <cell r="W75" t="str">
            <v>Соответствует</v>
          </cell>
          <cell r="X75">
            <v>0</v>
          </cell>
          <cell r="Y75">
            <v>0</v>
          </cell>
          <cell r="Z75" t="str">
            <v/>
          </cell>
          <cell r="AA75" t="str">
            <v/>
          </cell>
          <cell r="AB75" t="e">
            <v>#VALUE!</v>
          </cell>
          <cell r="AC75" t="str">
            <v>Не рассчитывалась</v>
          </cell>
          <cell r="AD75" t="str">
            <v>Не рассчитывалась</v>
          </cell>
          <cell r="AE75" t="str">
            <v>Не рассчитывалась</v>
          </cell>
          <cell r="AF75" t="e">
            <v>#VALUE!</v>
          </cell>
          <cell r="AG75">
            <v>1743.4</v>
          </cell>
          <cell r="AH75">
            <v>0</v>
          </cell>
          <cell r="AI75" t="str">
            <v>Уточнить состояние по фото</v>
          </cell>
          <cell r="AJ75" t="str">
            <v>Фото не предоставлено. Чем обусловлена столь низкая балансовая стоимость 655 тыс. руб. за бутовый объект площадью 1743 кв. м? Поскольку РС соответствует ОС, принимаем допущение о правильности расчета по сроку службы.</v>
          </cell>
          <cell r="AK75">
            <v>1</v>
          </cell>
          <cell r="AL75">
            <v>633392</v>
          </cell>
          <cell r="AM75" t="str">
            <v>По сроку службы</v>
          </cell>
        </row>
        <row r="76">
          <cell r="A76">
            <v>122</v>
          </cell>
          <cell r="B76" t="str">
            <v>Ц00003487</v>
          </cell>
          <cell r="C76" t="str">
            <v>Нежилое здание Об.пл. 262,2 кв.м. Литер Б Кад№ 23:24:0701000:668 (Здание прод.склада) (НП ФС)</v>
          </cell>
          <cell r="D76">
            <v>41974</v>
          </cell>
          <cell r="E76">
            <v>41974</v>
          </cell>
          <cell r="F76">
            <v>76139.81</v>
          </cell>
          <cell r="G76">
            <v>0.98663458968190321</v>
          </cell>
          <cell r="H76">
            <v>75122.170197808067</v>
          </cell>
          <cell r="I76">
            <v>1.0821917808219179</v>
          </cell>
          <cell r="J76" t="str">
            <v>шлакоблок</v>
          </cell>
          <cell r="K76">
            <v>0</v>
          </cell>
          <cell r="L76">
            <v>60</v>
          </cell>
          <cell r="M76">
            <v>1.8036529680365298E-2</v>
          </cell>
          <cell r="N76">
            <v>0</v>
          </cell>
          <cell r="O76">
            <v>0</v>
          </cell>
          <cell r="P76">
            <v>1.8036529680365287E-2</v>
          </cell>
          <cell r="Q76">
            <v>65390.689999999995</v>
          </cell>
          <cell r="R76">
            <v>249.39241037376047</v>
          </cell>
          <cell r="S76" t="str">
            <v>Соответствует</v>
          </cell>
          <cell r="T76">
            <v>73767</v>
          </cell>
          <cell r="U76">
            <v>281.33867276887872</v>
          </cell>
          <cell r="V76">
            <v>1.1280963696819839</v>
          </cell>
          <cell r="W76" t="str">
            <v>Соответствует</v>
          </cell>
          <cell r="X76" t="str">
            <v>хорошее</v>
          </cell>
          <cell r="Y76">
            <v>0.4</v>
          </cell>
          <cell r="Z76">
            <v>45073.302118684842</v>
          </cell>
          <cell r="AA76">
            <v>171.90427962885141</v>
          </cell>
          <cell r="AB76">
            <v>0.68929234603098466</v>
          </cell>
          <cell r="AC76" t="str">
            <v>Соответствует</v>
          </cell>
          <cell r="AD76" t="str">
            <v>Не рассчитывалась</v>
          </cell>
          <cell r="AE76" t="str">
            <v>Не рассчитывалась</v>
          </cell>
          <cell r="AF76" t="e">
            <v>#VALUE!</v>
          </cell>
          <cell r="AG76">
            <v>262.2</v>
          </cell>
          <cell r="AH76">
            <v>0</v>
          </cell>
          <cell r="AI76" t="str">
            <v>Уточнить состояние по фото</v>
          </cell>
          <cell r="AJ76" t="str">
            <v>Чем обусловлена столь низкая балансовая стоимость 76 тыс. руб. за бетонный объект площадью 262 кв. м?</v>
          </cell>
          <cell r="AK76">
            <v>1</v>
          </cell>
          <cell r="AL76">
            <v>73767</v>
          </cell>
          <cell r="AM76" t="str">
            <v>По сроку службы</v>
          </cell>
        </row>
        <row r="77">
          <cell r="A77">
            <v>123</v>
          </cell>
          <cell r="B77" t="str">
            <v>Ц00003489</v>
          </cell>
          <cell r="C77" t="str">
            <v>Нежилое здание Об.пл. 554,6 кв.м.  Кад№ 23:24:0701000:690 Литер В,в (Здание овощехранилища) (НП ФС)</v>
          </cell>
          <cell r="D77">
            <v>41974</v>
          </cell>
          <cell r="E77">
            <v>41974</v>
          </cell>
          <cell r="F77">
            <v>195536.08</v>
          </cell>
          <cell r="G77">
            <v>0.98663458968190321</v>
          </cell>
          <cell r="H77">
            <v>192922.66005880779</v>
          </cell>
          <cell r="I77">
            <v>1.0821917808219179</v>
          </cell>
          <cell r="J77" t="str">
            <v>блоки ФС</v>
          </cell>
          <cell r="K77">
            <v>0</v>
          </cell>
          <cell r="L77">
            <v>60</v>
          </cell>
          <cell r="M77">
            <v>1.8036529680365298E-2</v>
          </cell>
          <cell r="N77">
            <v>0</v>
          </cell>
          <cell r="O77">
            <v>0</v>
          </cell>
          <cell r="P77">
            <v>1.8036529680365287E-2</v>
          </cell>
          <cell r="Q77">
            <v>176144.08</v>
          </cell>
          <cell r="R77">
            <v>317.60562567616296</v>
          </cell>
          <cell r="S77" t="str">
            <v>Соответствует</v>
          </cell>
          <cell r="T77">
            <v>189443</v>
          </cell>
          <cell r="U77">
            <v>341.58492607284529</v>
          </cell>
          <cell r="V77">
            <v>1.0755002382140804</v>
          </cell>
          <cell r="W77" t="str">
            <v>Соответствует</v>
          </cell>
          <cell r="X77" t="str">
            <v>удовлетворительное</v>
          </cell>
          <cell r="Y77">
            <v>0.55000000000000004</v>
          </cell>
          <cell r="Z77">
            <v>86815.197026463502</v>
          </cell>
          <cell r="AA77">
            <v>156.53659759549856</v>
          </cell>
          <cell r="AB77">
            <v>0.49286468796716593</v>
          </cell>
          <cell r="AC77" t="str">
            <v>Соответствует</v>
          </cell>
          <cell r="AD77" t="str">
            <v>Не рассчитывалась</v>
          </cell>
          <cell r="AE77" t="str">
            <v>Не рассчитывалась</v>
          </cell>
          <cell r="AF77" t="e">
            <v>#VALUE!</v>
          </cell>
          <cell r="AG77">
            <v>554.6</v>
          </cell>
          <cell r="AH77">
            <v>0</v>
          </cell>
          <cell r="AI77" t="str">
            <v>Уточнить состояние по фото</v>
          </cell>
          <cell r="AJ77" t="str">
            <v>Чем обусловлена столь низкая балансовая стоимость 195 тыс. руб. за бетонный объект площадью 554 кв. м?</v>
          </cell>
          <cell r="AK77">
            <v>1</v>
          </cell>
          <cell r="AL77">
            <v>189443</v>
          </cell>
          <cell r="AM77" t="str">
            <v>По сроку службы</v>
          </cell>
        </row>
        <row r="78">
          <cell r="A78">
            <v>124</v>
          </cell>
          <cell r="B78" t="str">
            <v>Ц00002270</v>
          </cell>
          <cell r="C78" t="str">
            <v>Нежилое здание Об.пл. 59,6кв.м. ЛитерГ7(Трансформаторная станция)Кад№ 23:24:0701000:695  (НП  МТФ№2)</v>
          </cell>
          <cell r="D78">
            <v>41935</v>
          </cell>
          <cell r="E78">
            <v>41935</v>
          </cell>
          <cell r="F78">
            <v>8756.08</v>
          </cell>
          <cell r="G78">
            <v>0.98663458968190321</v>
          </cell>
          <cell r="H78">
            <v>8639.0513980219184</v>
          </cell>
          <cell r="I78">
            <v>1.189041095890411</v>
          </cell>
          <cell r="J78" t="str">
            <v>кирпичные</v>
          </cell>
          <cell r="K78">
            <v>0</v>
          </cell>
          <cell r="L78">
            <v>60</v>
          </cell>
          <cell r="M78">
            <v>1.9817351598173515E-2</v>
          </cell>
          <cell r="N78">
            <v>0</v>
          </cell>
          <cell r="O78">
            <v>0</v>
          </cell>
          <cell r="P78">
            <v>1.9817351598173549E-2</v>
          </cell>
          <cell r="Q78">
            <v>8247.4599999999991</v>
          </cell>
          <cell r="R78">
            <v>138.38020134228185</v>
          </cell>
          <cell r="S78" t="str">
            <v>Соответствует</v>
          </cell>
          <cell r="T78">
            <v>8468</v>
          </cell>
          <cell r="U78">
            <v>142.08053691275168</v>
          </cell>
          <cell r="V78">
            <v>1.0267403539998983</v>
          </cell>
          <cell r="W78" t="str">
            <v>Соответствует</v>
          </cell>
          <cell r="X78" t="str">
            <v>удовлетворительное</v>
          </cell>
          <cell r="Y78">
            <v>0.5</v>
          </cell>
          <cell r="Z78">
            <v>4319.5256990109592</v>
          </cell>
          <cell r="AA78">
            <v>72.475263406224144</v>
          </cell>
          <cell r="AB78">
            <v>0.52374012108103096</v>
          </cell>
          <cell r="AC78" t="str">
            <v>Соответствует</v>
          </cell>
          <cell r="AD78" t="str">
            <v>Не рассчитывалась</v>
          </cell>
          <cell r="AE78" t="str">
            <v>Не рассчитывалась</v>
          </cell>
          <cell r="AF78" t="e">
            <v>#VALUE!</v>
          </cell>
          <cell r="AG78">
            <v>59.6</v>
          </cell>
          <cell r="AH78">
            <v>0</v>
          </cell>
          <cell r="AI78" t="str">
            <v>Уточнить состояние по фото</v>
          </cell>
          <cell r="AJ78" t="str">
            <v>Чем обусловлена столь низкая балансовая стоимость 8,7 тыс. руб. за кирпичный объект площадью 60 кв. м?</v>
          </cell>
          <cell r="AK78">
            <v>1</v>
          </cell>
          <cell r="AL78">
            <v>8468</v>
          </cell>
          <cell r="AM78" t="str">
            <v>По сроку службы</v>
          </cell>
        </row>
        <row r="79">
          <cell r="A79">
            <v>125</v>
          </cell>
          <cell r="B79" t="str">
            <v>Ц00002283</v>
          </cell>
          <cell r="C79" t="str">
            <v>Нежилое здание Об.пл. 877,8кв.м. (Сенохранилище) Кад№ 23:24:0701000:819 Литер Щ  (НП  МТФ№2)</v>
          </cell>
          <cell r="D79">
            <v>41935</v>
          </cell>
          <cell r="E79">
            <v>41935</v>
          </cell>
          <cell r="F79">
            <v>2366651.44</v>
          </cell>
          <cell r="G79">
            <v>0.98663458968190321</v>
          </cell>
          <cell r="H79">
            <v>2335020.1724244854</v>
          </cell>
          <cell r="I79">
            <v>1.189041095890411</v>
          </cell>
          <cell r="J79" t="str">
            <v>металлопрофиль</v>
          </cell>
          <cell r="K79">
            <v>0</v>
          </cell>
          <cell r="L79">
            <v>35</v>
          </cell>
          <cell r="M79">
            <v>3.3972602739726028E-2</v>
          </cell>
          <cell r="N79">
            <v>0</v>
          </cell>
          <cell r="O79">
            <v>0</v>
          </cell>
          <cell r="P79">
            <v>3.3972602739726021E-2</v>
          </cell>
          <cell r="Q79">
            <v>2183595.56</v>
          </cell>
          <cell r="R79">
            <v>2487.5775347459562</v>
          </cell>
          <cell r="S79" t="str">
            <v>Соответствует</v>
          </cell>
          <cell r="T79">
            <v>2255693</v>
          </cell>
          <cell r="U79">
            <v>2569.7117794486217</v>
          </cell>
          <cell r="V79">
            <v>1.0330177626849544</v>
          </cell>
          <cell r="W79" t="str">
            <v>Соответствует</v>
          </cell>
          <cell r="X79" t="str">
            <v>отличное</v>
          </cell>
          <cell r="Y79">
            <v>0.15</v>
          </cell>
          <cell r="Z79">
            <v>1984767.1465608126</v>
          </cell>
          <cell r="AA79">
            <v>2261.069886717718</v>
          </cell>
          <cell r="AB79">
            <v>0.90894448721118148</v>
          </cell>
          <cell r="AC79" t="str">
            <v>Соответствует</v>
          </cell>
          <cell r="AD79" t="str">
            <v>Не рассчитывалась</v>
          </cell>
          <cell r="AE79" t="str">
            <v>Не рассчитывалась</v>
          </cell>
          <cell r="AF79" t="e">
            <v>#VALUE!</v>
          </cell>
          <cell r="AG79">
            <v>877.8</v>
          </cell>
          <cell r="AH79">
            <v>0</v>
          </cell>
          <cell r="AI79">
            <v>0</v>
          </cell>
          <cell r="AL79">
            <v>2255693</v>
          </cell>
          <cell r="AM79" t="str">
            <v>По сроку службы</v>
          </cell>
        </row>
        <row r="80">
          <cell r="A80">
            <v>127</v>
          </cell>
          <cell r="B80" t="str">
            <v>Ц00003488</v>
          </cell>
          <cell r="C80" t="str">
            <v>Нежилое здание Об.пл. 973,7 кв.м.  Кад№ 23:24:0701000:671 Лит К,К1 (Здание фуражного склада) (НП ФС)</v>
          </cell>
          <cell r="D80">
            <v>41974</v>
          </cell>
          <cell r="E80">
            <v>41974</v>
          </cell>
          <cell r="F80">
            <v>38069.910000000003</v>
          </cell>
          <cell r="G80">
            <v>0.98663458968190321</v>
          </cell>
          <cell r="H80">
            <v>37561.090032076987</v>
          </cell>
          <cell r="I80">
            <v>1.0821917808219179</v>
          </cell>
          <cell r="J80" t="str">
            <v>ракушечник</v>
          </cell>
          <cell r="K80">
            <v>0</v>
          </cell>
          <cell r="L80">
            <v>60</v>
          </cell>
          <cell r="M80">
            <v>1.8036529680365298E-2</v>
          </cell>
          <cell r="N80">
            <v>0</v>
          </cell>
          <cell r="O80">
            <v>0</v>
          </cell>
          <cell r="P80">
            <v>1.8036529680365287E-2</v>
          </cell>
          <cell r="Q80">
            <v>32695.350000000002</v>
          </cell>
          <cell r="R80">
            <v>33.578463592482287</v>
          </cell>
          <cell r="S80" t="str">
            <v>Соответствует</v>
          </cell>
          <cell r="T80">
            <v>36884</v>
          </cell>
          <cell r="U80">
            <v>37.880250590530963</v>
          </cell>
          <cell r="V80">
            <v>1.1281114898601787</v>
          </cell>
          <cell r="W80" t="str">
            <v>Соответствует</v>
          </cell>
          <cell r="X80" t="str">
            <v>удовлетворительное</v>
          </cell>
          <cell r="Y80">
            <v>0.5</v>
          </cell>
          <cell r="Z80">
            <v>18780.545016038493</v>
          </cell>
          <cell r="AA80">
            <v>19.287814538398369</v>
          </cell>
          <cell r="AB80">
            <v>0.57441027595784999</v>
          </cell>
          <cell r="AC80" t="str">
            <v>Соответствует</v>
          </cell>
          <cell r="AD80" t="str">
            <v>Не рассчитывалась</v>
          </cell>
          <cell r="AE80" t="str">
            <v>Не рассчитывалась</v>
          </cell>
          <cell r="AF80" t="e">
            <v>#VALUE!</v>
          </cell>
          <cell r="AG80">
            <v>973.7</v>
          </cell>
          <cell r="AH80">
            <v>0</v>
          </cell>
          <cell r="AI80" t="str">
            <v>Уточнить состояние по фото</v>
          </cell>
          <cell r="AJ80" t="str">
            <v>Чем обусловлена столь низкая балансовая стоимость 38 тыс. руб. за капитальный объект площадью 973 кв. м?</v>
          </cell>
          <cell r="AK80">
            <v>1</v>
          </cell>
          <cell r="AL80">
            <v>36884</v>
          </cell>
          <cell r="AM80" t="str">
            <v>По сроку службы</v>
          </cell>
        </row>
        <row r="81">
          <cell r="A81">
            <v>128</v>
          </cell>
          <cell r="B81" t="str">
            <v>Ц00003485</v>
          </cell>
          <cell r="C81" t="str">
            <v>Нежилое здание Об.пл.1655,4 кв.м. Литер Н,Н1,н  Кад№ 23:24:0701000:694 (Здание зерносклада) (НП ФС)</v>
          </cell>
          <cell r="D81">
            <v>41974</v>
          </cell>
          <cell r="E81">
            <v>41974</v>
          </cell>
          <cell r="F81">
            <v>866017.19</v>
          </cell>
          <cell r="G81">
            <v>0.98663458968190321</v>
          </cell>
          <cell r="H81">
            <v>854442.51491312473</v>
          </cell>
          <cell r="I81">
            <v>1.0821917808219179</v>
          </cell>
          <cell r="J81" t="str">
            <v>кирпичные</v>
          </cell>
          <cell r="K81">
            <v>0</v>
          </cell>
          <cell r="L81">
            <v>60</v>
          </cell>
          <cell r="M81">
            <v>1.8036529680365298E-2</v>
          </cell>
          <cell r="N81">
            <v>0</v>
          </cell>
          <cell r="O81">
            <v>0</v>
          </cell>
          <cell r="P81">
            <v>1.8036529680365287E-2</v>
          </cell>
          <cell r="Q81">
            <v>780131.14999999991</v>
          </cell>
          <cell r="R81">
            <v>471.26443759816351</v>
          </cell>
          <cell r="S81" t="str">
            <v>Соответствует</v>
          </cell>
          <cell r="T81">
            <v>839031</v>
          </cell>
          <cell r="U81">
            <v>506.84487133019206</v>
          </cell>
          <cell r="V81">
            <v>1.0754999335688622</v>
          </cell>
          <cell r="W81" t="str">
            <v>Соответствует</v>
          </cell>
          <cell r="X81" t="str">
            <v>хорошее</v>
          </cell>
          <cell r="Y81">
            <v>0.2</v>
          </cell>
          <cell r="Z81">
            <v>683554.01193049981</v>
          </cell>
          <cell r="AA81">
            <v>412.92377185604676</v>
          </cell>
          <cell r="AB81">
            <v>0.87620397151235385</v>
          </cell>
          <cell r="AC81" t="str">
            <v>Соответствует</v>
          </cell>
          <cell r="AD81" t="str">
            <v>Не рассчитывалась</v>
          </cell>
          <cell r="AE81" t="str">
            <v>Не рассчитывалась</v>
          </cell>
          <cell r="AF81" t="e">
            <v>#VALUE!</v>
          </cell>
          <cell r="AG81">
            <v>1655.4</v>
          </cell>
          <cell r="AH81">
            <v>0</v>
          </cell>
          <cell r="AI81" t="str">
            <v>Уточнить состояние по фото</v>
          </cell>
          <cell r="AJ81" t="str">
            <v>Чем обусловлена столь низкая балансовая стоимость 866 тыс. руб. за кирпичный объект площадью 1655 кв. м?</v>
          </cell>
          <cell r="AK81">
            <v>1</v>
          </cell>
          <cell r="AL81">
            <v>839031</v>
          </cell>
          <cell r="AM81" t="str">
            <v>По сроку службы</v>
          </cell>
        </row>
        <row r="82">
          <cell r="A82">
            <v>129</v>
          </cell>
          <cell r="B82" t="str">
            <v>Ц00003484</v>
          </cell>
          <cell r="C82" t="str">
            <v>Нежилое здание Об.пл.445,1 кв.м. Литер З Кад№ 23:24:0701000:676 (Здание кормоцеха) (НП ФС)</v>
          </cell>
          <cell r="D82">
            <v>41974</v>
          </cell>
          <cell r="E82">
            <v>41974</v>
          </cell>
          <cell r="F82">
            <v>344321.17</v>
          </cell>
          <cell r="G82">
            <v>0.98663458968190321</v>
          </cell>
          <cell r="H82">
            <v>339719.17628174281</v>
          </cell>
          <cell r="I82">
            <v>1.0821917808219179</v>
          </cell>
          <cell r="J82" t="str">
            <v>металлические</v>
          </cell>
          <cell r="K82">
            <v>0</v>
          </cell>
          <cell r="L82">
            <v>35</v>
          </cell>
          <cell r="M82">
            <v>3.0919765166340513E-2</v>
          </cell>
          <cell r="N82">
            <v>0</v>
          </cell>
          <cell r="O82">
            <v>0</v>
          </cell>
          <cell r="P82">
            <v>3.091976516634054E-2</v>
          </cell>
          <cell r="Q82">
            <v>310173.61</v>
          </cell>
          <cell r="R82">
            <v>696.8627499438328</v>
          </cell>
          <cell r="S82" t="str">
            <v>Соответствует</v>
          </cell>
          <cell r="T82">
            <v>329215</v>
          </cell>
          <cell r="U82">
            <v>739.64277690406641</v>
          </cell>
          <cell r="V82">
            <v>1.0613894586325381</v>
          </cell>
          <cell r="W82" t="str">
            <v>Соответствует</v>
          </cell>
          <cell r="X82" t="str">
            <v>отличное</v>
          </cell>
          <cell r="Y82">
            <v>0.05</v>
          </cell>
          <cell r="Z82">
            <v>322733.21746765566</v>
          </cell>
          <cell r="AA82">
            <v>725.08024593946448</v>
          </cell>
          <cell r="AB82">
            <v>1.0404921858686034</v>
          </cell>
          <cell r="AC82" t="str">
            <v>Соответствует</v>
          </cell>
          <cell r="AD82" t="str">
            <v>Не рассчитывалась</v>
          </cell>
          <cell r="AE82" t="str">
            <v>Не рассчитывалась</v>
          </cell>
          <cell r="AF82" t="e">
            <v>#VALUE!</v>
          </cell>
          <cell r="AG82">
            <v>445.1</v>
          </cell>
          <cell r="AH82">
            <v>0</v>
          </cell>
          <cell r="AI82" t="str">
            <v>Уточнить состояние по фото</v>
          </cell>
          <cell r="AL82">
            <v>322733.21746765566</v>
          </cell>
          <cell r="AM82" t="str">
            <v>Экспертно</v>
          </cell>
        </row>
        <row r="83">
          <cell r="A83">
            <v>130</v>
          </cell>
          <cell r="B83" t="str">
            <v>Ц00003163</v>
          </cell>
          <cell r="C83" t="str">
            <v>Нежилое здание Об.пл.54,9 кв.м. Литер И,И1 Кад№ 23:24:0701000:670 (Здание весовой) (НП ФС)</v>
          </cell>
          <cell r="D83">
            <v>41974</v>
          </cell>
          <cell r="E83">
            <v>41974</v>
          </cell>
          <cell r="F83">
            <v>199266.18</v>
          </cell>
          <cell r="G83">
            <v>0.98663458968190321</v>
          </cell>
          <cell r="H83">
            <v>196602.90574178027</v>
          </cell>
          <cell r="I83">
            <v>1.0821917808219179</v>
          </cell>
          <cell r="J83" t="str">
            <v>блоки</v>
          </cell>
          <cell r="K83">
            <v>0</v>
          </cell>
          <cell r="L83">
            <v>60</v>
          </cell>
          <cell r="M83">
            <v>1.8036529680365298E-2</v>
          </cell>
          <cell r="N83">
            <v>0</v>
          </cell>
          <cell r="O83">
            <v>0</v>
          </cell>
          <cell r="P83">
            <v>1.8036529680365287E-2</v>
          </cell>
          <cell r="Q83">
            <v>15328.139999999985</v>
          </cell>
          <cell r="R83">
            <v>279.2010928961746</v>
          </cell>
          <cell r="S83" t="str">
            <v>Не соответствует</v>
          </cell>
          <cell r="T83">
            <v>193057</v>
          </cell>
          <cell r="U83">
            <v>3516.5209471766848</v>
          </cell>
          <cell r="V83">
            <v>12.594939764381079</v>
          </cell>
          <cell r="W83" t="str">
            <v>Соответствует</v>
          </cell>
          <cell r="X83">
            <v>0</v>
          </cell>
          <cell r="Y83">
            <v>0</v>
          </cell>
          <cell r="Z83" t="str">
            <v/>
          </cell>
          <cell r="AA83" t="str">
            <v/>
          </cell>
          <cell r="AB83" t="e">
            <v>#VALUE!</v>
          </cell>
          <cell r="AC83" t="str">
            <v>Не рассчитывалась</v>
          </cell>
          <cell r="AD83" t="str">
            <v>Не рассчитывалась</v>
          </cell>
          <cell r="AE83" t="str">
            <v>Не рассчитывалась</v>
          </cell>
          <cell r="AF83" t="e">
            <v>#VALUE!</v>
          </cell>
          <cell r="AG83">
            <v>54.9</v>
          </cell>
          <cell r="AH83" t="str">
            <v>будет использоваться</v>
          </cell>
          <cell r="AI83">
            <v>0</v>
          </cell>
          <cell r="AJ83" t="str">
            <v>Фото не предоставлено. Допущение о том, что здание весовой без оборудования.</v>
          </cell>
          <cell r="AL83">
            <v>193057</v>
          </cell>
          <cell r="AM83" t="str">
            <v>По сроку службы</v>
          </cell>
        </row>
        <row r="84">
          <cell r="A84">
            <v>131</v>
          </cell>
          <cell r="B84">
            <v>518</v>
          </cell>
          <cell r="C84" t="str">
            <v>Нежилое здание общ.пл. 178,4 кв.м. Литер Ж (Здание эл. цеха(516) СМУ) Кад№ 23:11:0701142:20</v>
          </cell>
          <cell r="D84">
            <v>19343</v>
          </cell>
          <cell r="E84">
            <v>19343</v>
          </cell>
          <cell r="F84">
            <v>19720</v>
          </cell>
          <cell r="G84">
            <v>13.261762999999998</v>
          </cell>
          <cell r="H84">
            <v>261521.96635999996</v>
          </cell>
          <cell r="I84">
            <v>63.084931506849315</v>
          </cell>
          <cell r="J84" t="str">
            <v>кирпичные</v>
          </cell>
          <cell r="K84">
            <v>0</v>
          </cell>
          <cell r="L84">
            <v>60</v>
          </cell>
          <cell r="M84">
            <v>0.8</v>
          </cell>
          <cell r="N84">
            <v>0</v>
          </cell>
          <cell r="O84">
            <v>0</v>
          </cell>
          <cell r="P84">
            <v>0.8</v>
          </cell>
          <cell r="Q84">
            <v>0</v>
          </cell>
          <cell r="R84">
            <v>0</v>
          </cell>
          <cell r="S84" t="str">
            <v>Не соответствует</v>
          </cell>
          <cell r="T84">
            <v>52304</v>
          </cell>
          <cell r="U84">
            <v>293.18385650224212</v>
          </cell>
          <cell r="V84" t="e">
            <v>#DIV/0!</v>
          </cell>
          <cell r="W84" t="str">
            <v>Не соответствует</v>
          </cell>
          <cell r="X84" t="str">
            <v>удовлетворительное</v>
          </cell>
          <cell r="Y84">
            <v>0.4</v>
          </cell>
          <cell r="Z84">
            <v>156913.17981599996</v>
          </cell>
          <cell r="AA84">
            <v>879.55818282511188</v>
          </cell>
          <cell r="AB84" t="e">
            <v>#DIV/0!</v>
          </cell>
          <cell r="AC84" t="str">
            <v>Соответствует</v>
          </cell>
          <cell r="AD84" t="str">
            <v>Не рассчитывалась</v>
          </cell>
          <cell r="AE84" t="str">
            <v>Не рассчитывалась</v>
          </cell>
          <cell r="AF84" t="e">
            <v>#VALUE!</v>
          </cell>
          <cell r="AG84">
            <v>178.4</v>
          </cell>
          <cell r="AH84" t="str">
            <v>будет использоваться</v>
          </cell>
          <cell r="AI84" t="str">
            <v>Уточнить состояние по фото</v>
          </cell>
          <cell r="AL84">
            <v>156913.17981599996</v>
          </cell>
          <cell r="AM84" t="str">
            <v>Экспертно</v>
          </cell>
        </row>
        <row r="85">
          <cell r="A85">
            <v>132</v>
          </cell>
          <cell r="B85">
            <v>336</v>
          </cell>
          <cell r="C85" t="str">
            <v>Нежилое помещение (Мехплощадка ) Об.пл. 1782,2 кв.м. Кад№ 23:11:0702000:859</v>
          </cell>
          <cell r="D85">
            <v>20804</v>
          </cell>
          <cell r="E85">
            <v>20804</v>
          </cell>
          <cell r="F85">
            <v>76582</v>
          </cell>
          <cell r="G85">
            <v>13.261762999999998</v>
          </cell>
          <cell r="H85">
            <v>1015612.3340659998</v>
          </cell>
          <cell r="I85">
            <v>59.082191780821915</v>
          </cell>
          <cell r="J85" t="str">
            <v>камни бутовые</v>
          </cell>
          <cell r="K85">
            <v>0</v>
          </cell>
          <cell r="L85">
            <v>60</v>
          </cell>
          <cell r="M85">
            <v>0.8</v>
          </cell>
          <cell r="N85">
            <v>0</v>
          </cell>
          <cell r="O85">
            <v>0</v>
          </cell>
          <cell r="P85">
            <v>0.8</v>
          </cell>
          <cell r="Q85">
            <v>47863.4</v>
          </cell>
          <cell r="R85">
            <v>19.094187577292857</v>
          </cell>
          <cell r="S85">
            <v>0</v>
          </cell>
          <cell r="T85">
            <v>203122</v>
          </cell>
          <cell r="U85">
            <v>81.031635217616795</v>
          </cell>
          <cell r="V85">
            <v>4.2437854393962819</v>
          </cell>
          <cell r="W85">
            <v>0</v>
          </cell>
          <cell r="X85">
            <v>0</v>
          </cell>
          <cell r="Y85">
            <v>0</v>
          </cell>
          <cell r="Z85" t="str">
            <v/>
          </cell>
          <cell r="AA85" t="str">
            <v/>
          </cell>
          <cell r="AB85" t="e">
            <v>#VALUE!</v>
          </cell>
          <cell r="AC85">
            <v>0</v>
          </cell>
          <cell r="AD85" t="str">
            <v>Не рассчитывалась</v>
          </cell>
          <cell r="AE85" t="str">
            <v>Не рассчитывалась</v>
          </cell>
          <cell r="AF85" t="e">
            <v>#VALUE!</v>
          </cell>
          <cell r="AG85">
            <v>2506.6999999999998</v>
          </cell>
          <cell r="AH85" t="str">
            <v>ликвидация</v>
          </cell>
          <cell r="AI85" t="str">
            <v>Уточнить состояние по фото</v>
          </cell>
          <cell r="AL85">
            <v>0</v>
          </cell>
          <cell r="AM85" t="str">
            <v>Не рассчитывалась</v>
          </cell>
        </row>
        <row r="86">
          <cell r="A86">
            <v>133</v>
          </cell>
          <cell r="B86">
            <v>528</v>
          </cell>
          <cell r="C86" t="str">
            <v xml:space="preserve">Нежилое помещение Об.пл.200,6 кв.м. Литер Ж Кад№ 23:11:0702003:35 </v>
          </cell>
          <cell r="D86">
            <v>36144</v>
          </cell>
          <cell r="E86">
            <v>36144</v>
          </cell>
          <cell r="F86">
            <v>243972</v>
          </cell>
          <cell r="G86">
            <v>13.261762999999998</v>
          </cell>
          <cell r="H86">
            <v>3235498.8426359994</v>
          </cell>
          <cell r="I86">
            <v>17.054794520547944</v>
          </cell>
          <cell r="J86" t="str">
            <v>кирпичные</v>
          </cell>
          <cell r="K86">
            <v>0</v>
          </cell>
          <cell r="L86">
            <v>60</v>
          </cell>
          <cell r="M86">
            <v>0.28424657534246572</v>
          </cell>
          <cell r="N86">
            <v>0</v>
          </cell>
          <cell r="O86">
            <v>0</v>
          </cell>
          <cell r="P86">
            <v>0.28424657534246567</v>
          </cell>
          <cell r="Q86">
            <v>0</v>
          </cell>
          <cell r="R86">
            <v>0</v>
          </cell>
          <cell r="S86" t="str">
            <v>Не соответствует</v>
          </cell>
          <cell r="T86">
            <v>2315819</v>
          </cell>
          <cell r="U86">
            <v>11544.461615154536</v>
          </cell>
          <cell r="V86" t="e">
            <v>#DIV/0!</v>
          </cell>
          <cell r="W86" t="str">
            <v>Соответствует</v>
          </cell>
          <cell r="X86" t="str">
            <v>хорошее</v>
          </cell>
          <cell r="Y86">
            <v>0.2</v>
          </cell>
          <cell r="Z86">
            <v>2588399.0741087999</v>
          </cell>
          <cell r="AA86">
            <v>12903.285514001995</v>
          </cell>
          <cell r="AB86" t="e">
            <v>#DIV/0!</v>
          </cell>
          <cell r="AC86" t="str">
            <v>Соответствует</v>
          </cell>
          <cell r="AD86" t="str">
            <v>Не рассчитывалась</v>
          </cell>
          <cell r="AE86" t="str">
            <v>Не рассчитывалась</v>
          </cell>
          <cell r="AF86" t="e">
            <v>#VALUE!</v>
          </cell>
          <cell r="AG86">
            <v>200.6</v>
          </cell>
          <cell r="AH86" t="str">
            <v>будет использоваться</v>
          </cell>
          <cell r="AI86" t="str">
            <v>Уточнить состояние по фото</v>
          </cell>
          <cell r="AL86">
            <v>2315819</v>
          </cell>
          <cell r="AM86" t="str">
            <v>По сроку службы</v>
          </cell>
        </row>
        <row r="87">
          <cell r="A87">
            <v>134</v>
          </cell>
          <cell r="B87">
            <v>375</v>
          </cell>
          <cell r="C87" t="str">
            <v>Охранное помещение  Литер С   Об.S-16.9 кв.м. Кад№ 23:11:0702000:810</v>
          </cell>
          <cell r="D87">
            <v>24456</v>
          </cell>
          <cell r="E87">
            <v>24456</v>
          </cell>
          <cell r="F87">
            <v>193957</v>
          </cell>
          <cell r="G87">
            <v>13.261762999999998</v>
          </cell>
          <cell r="H87">
            <v>2572211.7661909997</v>
          </cell>
          <cell r="I87">
            <v>49.076712328767123</v>
          </cell>
          <cell r="J87" t="str">
            <v>ж/ж блоки</v>
          </cell>
          <cell r="K87">
            <v>0</v>
          </cell>
          <cell r="L87">
            <v>50</v>
          </cell>
          <cell r="M87">
            <v>0.8</v>
          </cell>
          <cell r="N87">
            <v>0</v>
          </cell>
          <cell r="O87">
            <v>0</v>
          </cell>
          <cell r="P87">
            <v>0.8</v>
          </cell>
          <cell r="Q87">
            <v>121223.44</v>
          </cell>
          <cell r="R87">
            <v>7172.9846153846165</v>
          </cell>
          <cell r="S87" t="str">
            <v>Соответствует</v>
          </cell>
          <cell r="T87">
            <v>514442</v>
          </cell>
          <cell r="U87">
            <v>30440.3550295858</v>
          </cell>
          <cell r="V87">
            <v>4.2437502186045863</v>
          </cell>
          <cell r="W87" t="str">
            <v>Не соответствует</v>
          </cell>
          <cell r="X87" t="str">
            <v>хорошее</v>
          </cell>
          <cell r="Y87">
            <v>0.2</v>
          </cell>
          <cell r="Z87">
            <v>2057769.4129527998</v>
          </cell>
          <cell r="AA87">
            <v>121761.50372501776</v>
          </cell>
          <cell r="AB87">
            <v>16.975012530190529</v>
          </cell>
          <cell r="AC87" t="str">
            <v>Не соответствует</v>
          </cell>
          <cell r="AD87">
            <v>125178</v>
          </cell>
          <cell r="AE87">
            <v>7406.9822485207105</v>
          </cell>
          <cell r="AF87">
            <v>1.0326220737507532</v>
          </cell>
          <cell r="AG87">
            <v>16.899999999999999</v>
          </cell>
          <cell r="AH87" t="str">
            <v>будет использоваться</v>
          </cell>
          <cell r="AI87" t="str">
            <v>Уточнить состояние по фото</v>
          </cell>
          <cell r="AJ87" t="str">
            <v>Расчет по Ко-Инвесту</v>
          </cell>
          <cell r="AL87">
            <v>125178</v>
          </cell>
          <cell r="AM87" t="str">
            <v>Ко-Инвест</v>
          </cell>
        </row>
        <row r="88">
          <cell r="A88">
            <v>135</v>
          </cell>
          <cell r="B88">
            <v>2138</v>
          </cell>
          <cell r="C88" t="str">
            <v>Пекарня, магазин   (Пекарня (новая) 80-а Об.S-409,3 кв.м. Литер А) Кад№ 23:11:0603308:76</v>
          </cell>
          <cell r="D88">
            <v>37605</v>
          </cell>
          <cell r="E88">
            <v>37605</v>
          </cell>
          <cell r="F88">
            <v>1265846.3999999999</v>
          </cell>
          <cell r="G88">
            <v>4.5511713933415532</v>
          </cell>
          <cell r="H88">
            <v>5761083.9240443883</v>
          </cell>
          <cell r="I88">
            <v>13.052054794520547</v>
          </cell>
          <cell r="J88" t="str">
            <v>каменные</v>
          </cell>
          <cell r="K88">
            <v>0</v>
          </cell>
          <cell r="L88">
            <v>60</v>
          </cell>
          <cell r="M88">
            <v>0.21753424657534245</v>
          </cell>
          <cell r="N88">
            <v>0</v>
          </cell>
          <cell r="O88">
            <v>0</v>
          </cell>
          <cell r="P88">
            <v>0.21753424657534248</v>
          </cell>
          <cell r="Q88">
            <v>949426.81999999983</v>
          </cell>
          <cell r="R88">
            <v>2319.6355240654771</v>
          </cell>
          <cell r="S88" t="str">
            <v>Не соответствует</v>
          </cell>
          <cell r="T88">
            <v>4507851</v>
          </cell>
          <cell r="U88">
            <v>11013.562179330564</v>
          </cell>
          <cell r="V88">
            <v>4.7479709915925916</v>
          </cell>
          <cell r="W88" t="str">
            <v>Соответствует</v>
          </cell>
          <cell r="X88" t="str">
            <v>хорошее</v>
          </cell>
          <cell r="Y88">
            <v>0.25</v>
          </cell>
          <cell r="Z88">
            <v>4320812.943033291</v>
          </cell>
          <cell r="AA88">
            <v>10556.591602817716</v>
          </cell>
          <cell r="AB88">
            <v>4.5509699663142991</v>
          </cell>
          <cell r="AC88" t="str">
            <v>Соответствует</v>
          </cell>
          <cell r="AD88" t="str">
            <v>Не рассчитывалась</v>
          </cell>
          <cell r="AE88" t="str">
            <v>Не рассчитывалась</v>
          </cell>
          <cell r="AF88" t="e">
            <v>#VALUE!</v>
          </cell>
          <cell r="AG88">
            <v>409.3</v>
          </cell>
          <cell r="AH88" t="str">
            <v>будет использоваться</v>
          </cell>
          <cell r="AI88" t="str">
            <v>Возможно с оборудованием? Уточнить состояние.</v>
          </cell>
          <cell r="AL88">
            <v>4320812.943033291</v>
          </cell>
          <cell r="AM88" t="str">
            <v>Экспертно</v>
          </cell>
        </row>
        <row r="89">
          <cell r="A89">
            <v>136</v>
          </cell>
          <cell r="B89">
            <v>348</v>
          </cell>
          <cell r="C89" t="str">
            <v>Помещение для молодняка КРС  Литер А МТФ№5  Об.пл. 654,4 кв.м Кад№ 23:11:0607000:2176</v>
          </cell>
          <cell r="D89">
            <v>22995</v>
          </cell>
          <cell r="E89">
            <v>22995</v>
          </cell>
          <cell r="F89">
            <v>150698</v>
          </cell>
          <cell r="G89">
            <v>13.261762999999998</v>
          </cell>
          <cell r="H89">
            <v>1998521.1605739999</v>
          </cell>
          <cell r="I89">
            <v>53.079452054794523</v>
          </cell>
          <cell r="J89" t="str">
            <v>каменные</v>
          </cell>
          <cell r="K89">
            <v>0</v>
          </cell>
          <cell r="L89">
            <v>60</v>
          </cell>
          <cell r="M89">
            <v>0.8</v>
          </cell>
          <cell r="N89">
            <v>0</v>
          </cell>
          <cell r="O89">
            <v>0</v>
          </cell>
          <cell r="P89">
            <v>0.8</v>
          </cell>
          <cell r="Q89">
            <v>0</v>
          </cell>
          <cell r="R89">
            <v>0</v>
          </cell>
          <cell r="S89" t="str">
            <v>Не соответствует</v>
          </cell>
          <cell r="T89">
            <v>399704</v>
          </cell>
          <cell r="U89">
            <v>610.7946210268949</v>
          </cell>
          <cell r="V89" t="e">
            <v>#DIV/0!</v>
          </cell>
          <cell r="W89" t="str">
            <v>Не соответствует</v>
          </cell>
          <cell r="X89" t="str">
            <v>хорошее</v>
          </cell>
          <cell r="Y89">
            <v>0.3</v>
          </cell>
          <cell r="Z89">
            <v>1398964.8124017997</v>
          </cell>
          <cell r="AA89">
            <v>2137.7824150394249</v>
          </cell>
          <cell r="AB89" t="e">
            <v>#DIV/0!</v>
          </cell>
          <cell r="AC89" t="str">
            <v>Соответствует</v>
          </cell>
          <cell r="AD89" t="str">
            <v>Не рассчитывалась</v>
          </cell>
          <cell r="AE89" t="str">
            <v>Не рассчитывалась</v>
          </cell>
          <cell r="AF89" t="e">
            <v>#VALUE!</v>
          </cell>
          <cell r="AG89">
            <v>654.4</v>
          </cell>
          <cell r="AH89" t="str">
            <v>будет использоваться</v>
          </cell>
          <cell r="AI89">
            <v>0</v>
          </cell>
          <cell r="AL89">
            <v>1398964.8124017997</v>
          </cell>
          <cell r="AM89" t="str">
            <v>Экспертно</v>
          </cell>
        </row>
        <row r="90">
          <cell r="A90">
            <v>137</v>
          </cell>
          <cell r="B90">
            <v>312</v>
          </cell>
          <cell r="C90" t="str">
            <v>Продовольственный склад по ул, Набережной   94 Об.S-776,7кв.м.  Литер А, А1 Кад№ 23:11:0603308:111</v>
          </cell>
          <cell r="D90">
            <v>37970</v>
          </cell>
          <cell r="E90">
            <v>37970</v>
          </cell>
          <cell r="F90">
            <v>661986</v>
          </cell>
          <cell r="G90">
            <v>3.9624261943102521</v>
          </cell>
          <cell r="H90">
            <v>2623070.6666666665</v>
          </cell>
          <cell r="I90">
            <v>12.052054794520547</v>
          </cell>
          <cell r="J90" t="str">
            <v>каменные</v>
          </cell>
          <cell r="K90">
            <v>0</v>
          </cell>
          <cell r="L90">
            <v>60</v>
          </cell>
          <cell r="M90">
            <v>0.20086757990867579</v>
          </cell>
          <cell r="N90">
            <v>0</v>
          </cell>
          <cell r="O90">
            <v>0</v>
          </cell>
          <cell r="P90">
            <v>0.20086757990867576</v>
          </cell>
          <cell r="Q90">
            <v>463389.52</v>
          </cell>
          <cell r="R90">
            <v>596.61326123342349</v>
          </cell>
          <cell r="S90" t="str">
            <v>Не соответствует</v>
          </cell>
          <cell r="T90">
            <v>2096181</v>
          </cell>
          <cell r="U90">
            <v>2698.8296639629198</v>
          </cell>
          <cell r="V90">
            <v>4.5235830970022795</v>
          </cell>
          <cell r="W90" t="str">
            <v>Соответствует</v>
          </cell>
          <cell r="X90" t="str">
            <v>хорошее</v>
          </cell>
          <cell r="Y90">
            <v>0.25</v>
          </cell>
          <cell r="Z90">
            <v>1967303</v>
          </cell>
          <cell r="AA90">
            <v>2532.8994463756917</v>
          </cell>
          <cell r="AB90">
            <v>4.2454628667476122</v>
          </cell>
          <cell r="AC90" t="str">
            <v>Соответствует</v>
          </cell>
          <cell r="AD90" t="str">
            <v>Не рассчитывалась</v>
          </cell>
          <cell r="AE90" t="str">
            <v>Не рассчитывалась</v>
          </cell>
          <cell r="AF90" t="e">
            <v>#VALUE!</v>
          </cell>
          <cell r="AG90">
            <v>776.7</v>
          </cell>
          <cell r="AH90" t="str">
            <v>будет использоваться</v>
          </cell>
          <cell r="AI90">
            <v>0</v>
          </cell>
          <cell r="AL90">
            <v>1967303</v>
          </cell>
          <cell r="AM90" t="str">
            <v>Экспертно</v>
          </cell>
        </row>
        <row r="91">
          <cell r="A91">
            <v>138</v>
          </cell>
          <cell r="B91">
            <v>353</v>
          </cell>
          <cell r="C91" t="str">
            <v>Родильное отд, на 260 гол,№147 МТФ №1 об.пл 2600,8 кв.м Литер Б Усл.№  000:03:220:001:015435930:0002</v>
          </cell>
          <cell r="D91">
            <v>30665</v>
          </cell>
          <cell r="E91">
            <v>30665</v>
          </cell>
          <cell r="F91">
            <v>1578467.98</v>
          </cell>
          <cell r="G91">
            <v>13.261762999999998</v>
          </cell>
          <cell r="H91">
            <v>20933268.253848739</v>
          </cell>
          <cell r="I91">
            <v>32.065753424657537</v>
          </cell>
          <cell r="J91" t="str">
            <v>кирпичное</v>
          </cell>
          <cell r="K91">
            <v>0</v>
          </cell>
          <cell r="L91">
            <v>60</v>
          </cell>
          <cell r="M91">
            <v>0.53442922374429225</v>
          </cell>
          <cell r="N91">
            <v>0</v>
          </cell>
          <cell r="O91">
            <v>0</v>
          </cell>
          <cell r="P91">
            <v>0.53442922374429225</v>
          </cell>
          <cell r="Q91">
            <v>864128.38</v>
          </cell>
          <cell r="R91">
            <v>332.25483697323898</v>
          </cell>
          <cell r="S91">
            <v>0</v>
          </cell>
          <cell r="T91">
            <v>9745918</v>
          </cell>
          <cell r="U91">
            <v>3747.2769916948628</v>
          </cell>
          <cell r="V91">
            <v>11.278321862314023</v>
          </cell>
          <cell r="W91">
            <v>0</v>
          </cell>
          <cell r="X91">
            <v>0</v>
          </cell>
          <cell r="Y91">
            <v>0</v>
          </cell>
          <cell r="Z91" t="str">
            <v/>
          </cell>
          <cell r="AA91" t="str">
            <v/>
          </cell>
          <cell r="AB91" t="e">
            <v>#VALUE!</v>
          </cell>
          <cell r="AC91">
            <v>0</v>
          </cell>
          <cell r="AD91" t="str">
            <v>Не рассчитывалась</v>
          </cell>
          <cell r="AE91" t="str">
            <v>Не рассчитывалась</v>
          </cell>
          <cell r="AF91" t="e">
            <v>#VALUE!</v>
          </cell>
          <cell r="AG91">
            <v>2600.8000000000002</v>
          </cell>
          <cell r="AH91" t="str">
            <v>не будет использоваться</v>
          </cell>
          <cell r="AI91">
            <v>0</v>
          </cell>
          <cell r="AL91">
            <v>0</v>
          </cell>
          <cell r="AM91" t="str">
            <v>Не рассчитывалась</v>
          </cell>
        </row>
        <row r="92">
          <cell r="A92">
            <v>139</v>
          </cell>
          <cell r="B92">
            <v>358</v>
          </cell>
          <cell r="C92" t="str">
            <v>Санпропускник (106) СТФ  Литер Ц  178,70 кв.м.  Кад.№ 23:11:0702000:779</v>
          </cell>
          <cell r="D92">
            <v>27743</v>
          </cell>
          <cell r="E92">
            <v>27743</v>
          </cell>
          <cell r="F92">
            <v>579415.84</v>
          </cell>
          <cell r="G92">
            <v>13.261762999999998</v>
          </cell>
          <cell r="H92">
            <v>7684075.5485259183</v>
          </cell>
          <cell r="I92">
            <v>40.07123287671233</v>
          </cell>
          <cell r="J92" t="str">
            <v>каменные</v>
          </cell>
          <cell r="K92">
            <v>0</v>
          </cell>
          <cell r="L92">
            <v>60</v>
          </cell>
          <cell r="M92">
            <v>0.66785388127853884</v>
          </cell>
          <cell r="N92">
            <v>0</v>
          </cell>
          <cell r="O92">
            <v>0</v>
          </cell>
          <cell r="P92">
            <v>0.66785388127853884</v>
          </cell>
          <cell r="Q92">
            <v>452783.63999999996</v>
          </cell>
          <cell r="R92">
            <v>2533.7640738668156</v>
          </cell>
          <cell r="S92" t="str">
            <v>Не соответствует</v>
          </cell>
          <cell r="T92">
            <v>2552236</v>
          </cell>
          <cell r="U92">
            <v>14282.238388360382</v>
          </cell>
          <cell r="V92">
            <v>5.6367672648243214</v>
          </cell>
          <cell r="W92" t="str">
            <v>Соответствует</v>
          </cell>
          <cell r="X92" t="str">
            <v>отличное</v>
          </cell>
          <cell r="Y92">
            <v>0.1</v>
          </cell>
          <cell r="Z92">
            <v>6915667.9936733264</v>
          </cell>
          <cell r="AA92">
            <v>38699.876853236303</v>
          </cell>
          <cell r="AB92">
            <v>15.273670209624463</v>
          </cell>
          <cell r="AC92" t="str">
            <v>Не соответствует</v>
          </cell>
          <cell r="AD92" t="str">
            <v>Не рассчитывалась</v>
          </cell>
          <cell r="AE92" t="str">
            <v>Не рассчитывалась</v>
          </cell>
          <cell r="AF92" t="e">
            <v>#VALUE!</v>
          </cell>
          <cell r="AG92">
            <v>178.7</v>
          </cell>
          <cell r="AH92" t="str">
            <v>будет использоваться</v>
          </cell>
          <cell r="AI92">
            <v>0</v>
          </cell>
          <cell r="AL92">
            <v>2552236</v>
          </cell>
          <cell r="AM92" t="str">
            <v>По сроку службы</v>
          </cell>
        </row>
        <row r="93">
          <cell r="A93">
            <v>140</v>
          </cell>
          <cell r="B93">
            <v>315</v>
          </cell>
          <cell r="C93" t="str">
            <v>Свеклохранилище  ЛитерБ об.пл.1818,2 (Корпус для доращ. рем.телок (377) Ф№4) Кад№ 23:11:0607000:2139</v>
          </cell>
          <cell r="D93">
            <v>29219</v>
          </cell>
          <cell r="E93">
            <v>29219</v>
          </cell>
          <cell r="F93">
            <v>672485.46</v>
          </cell>
          <cell r="G93">
            <v>13.261762999999998</v>
          </cell>
          <cell r="H93">
            <v>8918342.7914659791</v>
          </cell>
          <cell r="I93">
            <v>36.027397260273972</v>
          </cell>
          <cell r="J93" t="str">
            <v>кирпичные, ж/б панели</v>
          </cell>
          <cell r="K93">
            <v>0</v>
          </cell>
          <cell r="L93">
            <v>60</v>
          </cell>
          <cell r="M93">
            <v>0.6004566210045662</v>
          </cell>
          <cell r="N93">
            <v>0</v>
          </cell>
          <cell r="O93">
            <v>0</v>
          </cell>
          <cell r="P93">
            <v>0.6004566210045662</v>
          </cell>
          <cell r="Q93">
            <v>191963.33999999997</v>
          </cell>
          <cell r="R93">
            <v>105.57878121218786</v>
          </cell>
          <cell r="S93" t="str">
            <v>Не соответствует</v>
          </cell>
          <cell r="T93">
            <v>3563265</v>
          </cell>
          <cell r="U93">
            <v>1959.7761522384776</v>
          </cell>
          <cell r="V93">
            <v>18.56221609813624</v>
          </cell>
          <cell r="W93" t="str">
            <v>Не соответствует</v>
          </cell>
          <cell r="X93" t="str">
            <v>хорошее</v>
          </cell>
          <cell r="Y93">
            <v>0.3</v>
          </cell>
          <cell r="Z93">
            <v>6242839.954026185</v>
          </cell>
          <cell r="AA93">
            <v>3433.5276394380071</v>
          </cell>
          <cell r="AB93">
            <v>32.521000905830178</v>
          </cell>
          <cell r="AC93" t="str">
            <v>Соответствует</v>
          </cell>
          <cell r="AD93" t="str">
            <v>Не рассчитывалась</v>
          </cell>
          <cell r="AE93" t="str">
            <v>Не рассчитывалась</v>
          </cell>
          <cell r="AF93" t="e">
            <v>#VALUE!</v>
          </cell>
          <cell r="AG93">
            <v>1818.2</v>
          </cell>
          <cell r="AH93" t="str">
            <v>будет использоваться</v>
          </cell>
          <cell r="AI93">
            <v>0</v>
          </cell>
          <cell r="AL93">
            <v>6242839.954026185</v>
          </cell>
          <cell r="AM93" t="str">
            <v>Экспертно</v>
          </cell>
        </row>
        <row r="94">
          <cell r="A94">
            <v>141</v>
          </cell>
          <cell r="B94">
            <v>366</v>
          </cell>
          <cell r="C94" t="str">
            <v>Свинарник маточник (Корпус-маточ. для свиней на 100 гол.СТФ ЛитерД) 850,4кв.м.Кад№ 23:11:0702000:769</v>
          </cell>
          <cell r="D94">
            <v>37240</v>
          </cell>
          <cell r="E94">
            <v>37240</v>
          </cell>
          <cell r="F94">
            <v>511744</v>
          </cell>
          <cell r="G94">
            <v>5.4199706314243752</v>
          </cell>
          <cell r="H94">
            <v>2773637.4508076357</v>
          </cell>
          <cell r="I94">
            <v>14.052054794520547</v>
          </cell>
          <cell r="J94" t="str">
            <v>каменные</v>
          </cell>
          <cell r="K94">
            <v>0</v>
          </cell>
          <cell r="L94">
            <v>60</v>
          </cell>
          <cell r="M94">
            <v>0.23420091324200912</v>
          </cell>
          <cell r="N94">
            <v>0</v>
          </cell>
          <cell r="O94">
            <v>0</v>
          </cell>
          <cell r="P94">
            <v>0.23420091324200909</v>
          </cell>
          <cell r="Q94">
            <v>369948.39</v>
          </cell>
          <cell r="R94">
            <v>435.0286806208843</v>
          </cell>
          <cell r="S94">
            <v>0</v>
          </cell>
          <cell r="T94">
            <v>2124049</v>
          </cell>
          <cell r="U94">
            <v>2497.7057855127</v>
          </cell>
          <cell r="V94">
            <v>5.7414738309849112</v>
          </cell>
          <cell r="W94">
            <v>0</v>
          </cell>
          <cell r="X94">
            <v>0</v>
          </cell>
          <cell r="Y94">
            <v>0</v>
          </cell>
          <cell r="Z94" t="str">
            <v/>
          </cell>
          <cell r="AA94" t="str">
            <v/>
          </cell>
          <cell r="AB94" t="e">
            <v>#VALUE!</v>
          </cell>
          <cell r="AC94">
            <v>0</v>
          </cell>
          <cell r="AD94" t="str">
            <v>Не рассчитывалась</v>
          </cell>
          <cell r="AE94" t="str">
            <v>Не рассчитывалась</v>
          </cell>
          <cell r="AF94" t="e">
            <v>#VALUE!</v>
          </cell>
          <cell r="AG94">
            <v>850.4</v>
          </cell>
          <cell r="AH94" t="str">
            <v>не будет использоваться</v>
          </cell>
          <cell r="AI94">
            <v>0</v>
          </cell>
          <cell r="AL94">
            <v>0</v>
          </cell>
          <cell r="AM94" t="str">
            <v>Не рассчитывалась</v>
          </cell>
        </row>
        <row r="95">
          <cell r="A95">
            <v>142</v>
          </cell>
          <cell r="B95">
            <v>322</v>
          </cell>
          <cell r="C95" t="str">
            <v>Семенохранилище 318 бр1 Об.S-2034,5 кв.м.  Литер А Кад№ 23:11:0607000:2198</v>
          </cell>
          <cell r="D95">
            <v>33222</v>
          </cell>
          <cell r="E95">
            <v>33222</v>
          </cell>
          <cell r="F95">
            <v>1999200</v>
          </cell>
          <cell r="G95">
            <v>13.261762999999998</v>
          </cell>
          <cell r="H95">
            <v>26512916.589599997</v>
          </cell>
          <cell r="I95">
            <v>25.06027397260274</v>
          </cell>
          <cell r="J95" t="str">
            <v>ж/б панели</v>
          </cell>
          <cell r="K95">
            <v>0</v>
          </cell>
          <cell r="L95">
            <v>50</v>
          </cell>
          <cell r="M95">
            <v>0.50120547945205485</v>
          </cell>
          <cell r="N95">
            <v>0</v>
          </cell>
          <cell r="O95">
            <v>0</v>
          </cell>
          <cell r="P95">
            <v>0.50120547945205485</v>
          </cell>
          <cell r="Q95">
            <v>1249500</v>
          </cell>
          <cell r="R95">
            <v>614.15581223887932</v>
          </cell>
          <cell r="S95" t="str">
            <v>Не соответствует</v>
          </cell>
          <cell r="T95">
            <v>13224498</v>
          </cell>
          <cell r="U95">
            <v>6500.1218972720571</v>
          </cell>
          <cell r="V95">
            <v>10.583831932773109</v>
          </cell>
          <cell r="W95" t="str">
            <v>Соответствует</v>
          </cell>
          <cell r="X95" t="str">
            <v>хорошее</v>
          </cell>
          <cell r="Y95">
            <v>0.4</v>
          </cell>
          <cell r="Z95">
            <v>15907749.953759998</v>
          </cell>
          <cell r="AA95">
            <v>7818.9972739051354</v>
          </cell>
          <cell r="AB95">
            <v>12.731292479999999</v>
          </cell>
          <cell r="AC95" t="str">
            <v>Соответствует</v>
          </cell>
          <cell r="AD95" t="str">
            <v>Не рассчитывалась</v>
          </cell>
          <cell r="AE95" t="str">
            <v>Не рассчитывалась</v>
          </cell>
          <cell r="AF95" t="e">
            <v>#VALUE!</v>
          </cell>
          <cell r="AG95">
            <v>2034.5</v>
          </cell>
          <cell r="AH95" t="str">
            <v>будет использоваться</v>
          </cell>
          <cell r="AI95">
            <v>0</v>
          </cell>
          <cell r="AL95">
            <v>13224498</v>
          </cell>
          <cell r="AM95" t="str">
            <v>По сроку службы</v>
          </cell>
        </row>
        <row r="96">
          <cell r="A96">
            <v>143</v>
          </cell>
          <cell r="B96">
            <v>329</v>
          </cell>
          <cell r="C96" t="str">
            <v>Сенохранилище 600т (Хранилище для сена на 600 т. Об.S-2029,5 МТФ №3 Литер Л) Кад№ 23:11:0607000:1983</v>
          </cell>
          <cell r="D96">
            <v>31031</v>
          </cell>
          <cell r="E96">
            <v>31031</v>
          </cell>
          <cell r="F96">
            <v>813591.58</v>
          </cell>
          <cell r="G96">
            <v>13.261762999999998</v>
          </cell>
          <cell r="H96">
            <v>10789658.712755539</v>
          </cell>
          <cell r="I96">
            <v>31.063013698630137</v>
          </cell>
          <cell r="J96" t="str">
            <v>ж/б блоки</v>
          </cell>
          <cell r="K96">
            <v>0</v>
          </cell>
          <cell r="L96">
            <v>50</v>
          </cell>
          <cell r="M96">
            <v>0.62126027397260275</v>
          </cell>
          <cell r="N96">
            <v>0</v>
          </cell>
          <cell r="O96">
            <v>0</v>
          </cell>
          <cell r="P96">
            <v>0.62126027397260275</v>
          </cell>
          <cell r="Q96">
            <v>0</v>
          </cell>
          <cell r="R96">
            <v>0</v>
          </cell>
          <cell r="S96" t="str">
            <v>Не соответствует</v>
          </cell>
          <cell r="T96">
            <v>4086472</v>
          </cell>
          <cell r="U96">
            <v>15615.101260985863</v>
          </cell>
          <cell r="V96" t="e">
            <v>#DIV/0!</v>
          </cell>
          <cell r="W96" t="str">
            <v>Соответствует</v>
          </cell>
          <cell r="X96" t="str">
            <v>хорошее</v>
          </cell>
          <cell r="Y96">
            <v>0.4</v>
          </cell>
          <cell r="Z96">
            <v>6473795.2276533227</v>
          </cell>
          <cell r="AA96">
            <v>24737.467434670703</v>
          </cell>
          <cell r="AB96" t="e">
            <v>#DIV/0!</v>
          </cell>
          <cell r="AC96" t="str">
            <v>Не соответствует</v>
          </cell>
          <cell r="AD96" t="str">
            <v>Не рассчитывалась</v>
          </cell>
          <cell r="AE96" t="str">
            <v>Не рассчитывалась</v>
          </cell>
          <cell r="AF96" t="e">
            <v>#VALUE!</v>
          </cell>
          <cell r="AG96">
            <v>261.7</v>
          </cell>
          <cell r="AH96" t="str">
            <v>будет использоваться</v>
          </cell>
          <cell r="AI96" t="str">
            <v>Уточнить состояние по фото</v>
          </cell>
          <cell r="AL96">
            <v>4086472</v>
          </cell>
          <cell r="AM96" t="str">
            <v>По сроку службы</v>
          </cell>
        </row>
        <row r="97">
          <cell r="A97">
            <v>144</v>
          </cell>
          <cell r="B97">
            <v>522</v>
          </cell>
          <cell r="C97" t="str">
            <v>Сепараторное отделение Об.пл.354,6 кв.м(Корпус сепар.отдел.454) Литер А,а,а1 Кад№ 23:11:0607000:2147</v>
          </cell>
          <cell r="D97">
            <v>22630</v>
          </cell>
          <cell r="E97">
            <v>22630</v>
          </cell>
          <cell r="F97">
            <v>83111</v>
          </cell>
          <cell r="G97">
            <v>13.261762999999998</v>
          </cell>
          <cell r="H97">
            <v>1102198.3846929998</v>
          </cell>
          <cell r="I97">
            <v>54.079452054794523</v>
          </cell>
          <cell r="J97" t="str">
            <v>пиленный камень</v>
          </cell>
          <cell r="K97">
            <v>0</v>
          </cell>
          <cell r="L97">
            <v>60</v>
          </cell>
          <cell r="M97">
            <v>0.8</v>
          </cell>
          <cell r="N97">
            <v>0</v>
          </cell>
          <cell r="O97">
            <v>0</v>
          </cell>
          <cell r="P97">
            <v>0.8</v>
          </cell>
          <cell r="Q97">
            <v>0</v>
          </cell>
          <cell r="R97">
            <v>0</v>
          </cell>
          <cell r="S97">
            <v>0</v>
          </cell>
          <cell r="T97">
            <v>220440</v>
          </cell>
          <cell r="U97">
            <v>621.65820642977997</v>
          </cell>
          <cell r="V97" t="e">
            <v>#DIV/0!</v>
          </cell>
          <cell r="W97">
            <v>0</v>
          </cell>
          <cell r="X97">
            <v>0</v>
          </cell>
          <cell r="Y97">
            <v>0</v>
          </cell>
          <cell r="Z97" t="str">
            <v/>
          </cell>
          <cell r="AA97" t="str">
            <v/>
          </cell>
          <cell r="AB97" t="e">
            <v>#VALUE!</v>
          </cell>
          <cell r="AC97">
            <v>0</v>
          </cell>
          <cell r="AD97" t="str">
            <v>Не рассчитывалась</v>
          </cell>
          <cell r="AE97" t="str">
            <v>Не рассчитывалась</v>
          </cell>
          <cell r="AF97" t="e">
            <v>#VALUE!</v>
          </cell>
          <cell r="AG97">
            <v>354.6</v>
          </cell>
          <cell r="AH97" t="str">
            <v>не будет использоваться</v>
          </cell>
          <cell r="AI97" t="str">
            <v>Уточнить состояние по фото</v>
          </cell>
          <cell r="AL97">
            <v>0</v>
          </cell>
          <cell r="AM97" t="str">
            <v>Не рассчитывалась</v>
          </cell>
        </row>
        <row r="98">
          <cell r="A98">
            <v>148</v>
          </cell>
          <cell r="B98">
            <v>320</v>
          </cell>
          <cell r="C98" t="str">
            <v>Склад АВМ на 2000т Об.пл. 1983 кв.м. (Склад на 2000 тонн (шиферный) СТФ) Усл № 23-23-27/037/2009-324</v>
          </cell>
          <cell r="D98">
            <v>29570</v>
          </cell>
          <cell r="E98">
            <v>29570</v>
          </cell>
          <cell r="F98">
            <v>104528</v>
          </cell>
          <cell r="G98">
            <v>13.261762999999998</v>
          </cell>
          <cell r="H98">
            <v>1386225.5628639997</v>
          </cell>
          <cell r="I98">
            <v>35.065753424657537</v>
          </cell>
          <cell r="J98" t="str">
            <v>панели, стены шиферные</v>
          </cell>
          <cell r="K98">
            <v>0</v>
          </cell>
          <cell r="L98">
            <v>12</v>
          </cell>
          <cell r="M98">
            <v>0.8</v>
          </cell>
          <cell r="N98">
            <v>0</v>
          </cell>
          <cell r="O98">
            <v>0</v>
          </cell>
          <cell r="P98">
            <v>0.8</v>
          </cell>
          <cell r="Q98">
            <v>65330.36</v>
          </cell>
          <cell r="R98">
            <v>32.945214321734746</v>
          </cell>
          <cell r="S98" t="str">
            <v>Не соответствует</v>
          </cell>
          <cell r="T98">
            <v>277245</v>
          </cell>
          <cell r="U98">
            <v>139.81089258698941</v>
          </cell>
          <cell r="V98">
            <v>4.2437390517976636</v>
          </cell>
          <cell r="W98" t="str">
            <v>Соответствует</v>
          </cell>
          <cell r="X98" t="str">
            <v>неудовлетворительное</v>
          </cell>
          <cell r="Y98">
            <v>0.7</v>
          </cell>
          <cell r="Z98">
            <v>415867.66885919997</v>
          </cell>
          <cell r="AA98">
            <v>209.71642403388805</v>
          </cell>
          <cell r="AB98">
            <v>6.3656111623937166</v>
          </cell>
          <cell r="AC98" t="str">
            <v>Соответствует</v>
          </cell>
          <cell r="AD98" t="str">
            <v>Не рассчитывалась</v>
          </cell>
          <cell r="AE98" t="str">
            <v>Не рассчитывалась</v>
          </cell>
          <cell r="AF98" t="e">
            <v>#VALUE!</v>
          </cell>
          <cell r="AG98">
            <v>1983</v>
          </cell>
          <cell r="AH98" t="str">
            <v>будет использоваться</v>
          </cell>
          <cell r="AI98">
            <v>0</v>
          </cell>
          <cell r="AL98">
            <v>277245</v>
          </cell>
          <cell r="AM98" t="str">
            <v>По сроку службы</v>
          </cell>
        </row>
        <row r="99">
          <cell r="A99">
            <v>149</v>
          </cell>
          <cell r="B99">
            <v>428</v>
          </cell>
          <cell r="C99" t="str">
            <v>Склад арочник на 1500 тонн (198) ЦЗС Об.S-763,7 кв.м. Литер Ж  кад.№ 23:11:0607000:1857</v>
          </cell>
          <cell r="D99">
            <v>37605</v>
          </cell>
          <cell r="E99">
            <v>37605</v>
          </cell>
          <cell r="F99">
            <v>334326</v>
          </cell>
          <cell r="G99">
            <v>4.5511713933415532</v>
          </cell>
          <cell r="H99">
            <v>1521574.9272503082</v>
          </cell>
          <cell r="I99">
            <v>13.052054794520547</v>
          </cell>
          <cell r="J99" t="str">
            <v>кирпичные</v>
          </cell>
          <cell r="K99">
            <v>0</v>
          </cell>
          <cell r="L99">
            <v>60</v>
          </cell>
          <cell r="M99">
            <v>0.21753424657534245</v>
          </cell>
          <cell r="N99">
            <v>0</v>
          </cell>
          <cell r="O99">
            <v>0</v>
          </cell>
          <cell r="P99">
            <v>0.21753424657534248</v>
          </cell>
          <cell r="Q99">
            <v>225670.68</v>
          </cell>
          <cell r="R99">
            <v>295.4965038627733</v>
          </cell>
          <cell r="S99" t="str">
            <v>Не соответствует</v>
          </cell>
          <cell r="T99">
            <v>1190580</v>
          </cell>
          <cell r="U99">
            <v>1558.9629435642266</v>
          </cell>
          <cell r="V99">
            <v>5.2757407386728312</v>
          </cell>
          <cell r="W99" t="str">
            <v>Соответствует</v>
          </cell>
          <cell r="X99" t="str">
            <v>хорошее</v>
          </cell>
          <cell r="Y99">
            <v>0.3</v>
          </cell>
          <cell r="Z99">
            <v>1065102.4490752157</v>
          </cell>
          <cell r="AA99">
            <v>1394.6607949132062</v>
          </cell>
          <cell r="AB99">
            <v>4.719720120820373</v>
          </cell>
          <cell r="AC99" t="str">
            <v>Соответствует</v>
          </cell>
          <cell r="AD99" t="str">
            <v>Не рассчитывалась</v>
          </cell>
          <cell r="AE99" t="str">
            <v>Не рассчитывалась</v>
          </cell>
          <cell r="AF99" t="e">
            <v>#VALUE!</v>
          </cell>
          <cell r="AG99">
            <v>763.7</v>
          </cell>
          <cell r="AH99" t="str">
            <v>будет использоваться</v>
          </cell>
          <cell r="AI99">
            <v>0</v>
          </cell>
          <cell r="AL99">
            <v>1065102.4490752157</v>
          </cell>
          <cell r="AM99" t="str">
            <v>Экспертно</v>
          </cell>
        </row>
        <row r="100">
          <cell r="A100">
            <v>150</v>
          </cell>
          <cell r="B100">
            <v>337</v>
          </cell>
          <cell r="C100" t="str">
            <v>Склад запчастей   260 Об.S-131,6 Литер Д кв.м. кад№  23:11:0701142:21</v>
          </cell>
          <cell r="D100">
            <v>24456</v>
          </cell>
          <cell r="E100">
            <v>19343</v>
          </cell>
          <cell r="F100">
            <v>343454</v>
          </cell>
          <cell r="G100">
            <v>13.261762999999998</v>
          </cell>
          <cell r="H100">
            <v>4554805.5494019995</v>
          </cell>
          <cell r="I100">
            <v>63.084931506849315</v>
          </cell>
          <cell r="J100" t="str">
            <v>каменные</v>
          </cell>
          <cell r="K100">
            <v>0</v>
          </cell>
          <cell r="L100">
            <v>60</v>
          </cell>
          <cell r="M100">
            <v>0.8</v>
          </cell>
          <cell r="N100">
            <v>0</v>
          </cell>
          <cell r="O100">
            <v>0</v>
          </cell>
          <cell r="P100">
            <v>0.8</v>
          </cell>
          <cell r="Q100">
            <v>0</v>
          </cell>
          <cell r="R100">
            <v>0</v>
          </cell>
          <cell r="S100" t="str">
            <v>Не соответствует</v>
          </cell>
          <cell r="T100">
            <v>910961</v>
          </cell>
          <cell r="U100">
            <v>6922.1960486322196</v>
          </cell>
          <cell r="V100" t="e">
            <v>#DIV/0!</v>
          </cell>
          <cell r="W100" t="str">
            <v>Соответствует</v>
          </cell>
          <cell r="X100" t="str">
            <v>хорошее</v>
          </cell>
          <cell r="Y100">
            <v>0.3</v>
          </cell>
          <cell r="Z100">
            <v>3188363.8845813996</v>
          </cell>
          <cell r="AA100">
            <v>24227.689092563829</v>
          </cell>
          <cell r="AB100" t="e">
            <v>#DIV/0!</v>
          </cell>
          <cell r="AC100" t="str">
            <v>Не соответствует</v>
          </cell>
          <cell r="AD100" t="str">
            <v>Не рассчитывалась</v>
          </cell>
          <cell r="AE100" t="str">
            <v>Не рассчитывалась</v>
          </cell>
          <cell r="AF100" t="e">
            <v>#VALUE!</v>
          </cell>
          <cell r="AG100">
            <v>131.6</v>
          </cell>
          <cell r="AH100" t="str">
            <v>будет использоваться</v>
          </cell>
          <cell r="AI100">
            <v>0</v>
          </cell>
          <cell r="AL100">
            <v>910961</v>
          </cell>
          <cell r="AM100" t="str">
            <v>По сроку службы</v>
          </cell>
        </row>
        <row r="101">
          <cell r="A101">
            <v>151</v>
          </cell>
          <cell r="B101">
            <v>338</v>
          </cell>
          <cell r="C101" t="str">
            <v>Склад об.S-641,8 кв.м. (Склад стройбригады 54 СМУ)  Литер Б Кад№ 23:11:0603070:177</v>
          </cell>
          <cell r="D101">
            <v>33953</v>
          </cell>
          <cell r="E101">
            <v>33953</v>
          </cell>
          <cell r="F101">
            <v>348655</v>
          </cell>
          <cell r="G101">
            <v>13.261762999999998</v>
          </cell>
          <cell r="H101">
            <v>4623779.9787649997</v>
          </cell>
          <cell r="I101">
            <v>23.057534246575344</v>
          </cell>
          <cell r="J101" t="str">
            <v>ж/б панели</v>
          </cell>
          <cell r="K101">
            <v>0</v>
          </cell>
          <cell r="L101">
            <v>50</v>
          </cell>
          <cell r="M101">
            <v>0.46115068493150685</v>
          </cell>
          <cell r="N101">
            <v>0</v>
          </cell>
          <cell r="O101">
            <v>0</v>
          </cell>
          <cell r="P101">
            <v>0.46115068493150679</v>
          </cell>
          <cell r="Q101">
            <v>217910.47999999998</v>
          </cell>
          <cell r="R101">
            <v>339.53019632284202</v>
          </cell>
          <cell r="S101" t="str">
            <v>Не соответствует</v>
          </cell>
          <cell r="T101">
            <v>2491521</v>
          </cell>
          <cell r="U101">
            <v>3882.0832034901841</v>
          </cell>
          <cell r="V101">
            <v>11.433690568714272</v>
          </cell>
          <cell r="W101" t="str">
            <v>Не соответствует</v>
          </cell>
          <cell r="X101" t="str">
            <v>хорошее</v>
          </cell>
          <cell r="Y101">
            <v>0.2</v>
          </cell>
          <cell r="Z101">
            <v>3699023.9830120001</v>
          </cell>
          <cell r="AA101">
            <v>5763.5150872732947</v>
          </cell>
          <cell r="AB101">
            <v>16.974970561360795</v>
          </cell>
          <cell r="AC101" t="str">
            <v>Соответствует</v>
          </cell>
          <cell r="AD101" t="str">
            <v>Не рассчитывалась</v>
          </cell>
          <cell r="AE101" t="str">
            <v>Не рассчитывалась</v>
          </cell>
          <cell r="AF101" t="e">
            <v>#VALUE!</v>
          </cell>
          <cell r="AG101">
            <v>641.79999999999995</v>
          </cell>
          <cell r="AH101" t="str">
            <v>будет использоваться</v>
          </cell>
          <cell r="AI101">
            <v>0</v>
          </cell>
          <cell r="AL101">
            <v>3699023.9830120001</v>
          </cell>
          <cell r="AM101" t="str">
            <v>Экспертно</v>
          </cell>
        </row>
        <row r="102">
          <cell r="A102">
            <v>152</v>
          </cell>
          <cell r="B102">
            <v>335</v>
          </cell>
          <cell r="C102" t="str">
            <v>Склад стройматериалов 42 СМУ Об.S-75,8 кв.м. Литер Ж  Кад№ 23:11:0603070:101</v>
          </cell>
          <cell r="D102">
            <v>21534</v>
          </cell>
          <cell r="E102">
            <v>21534</v>
          </cell>
          <cell r="F102">
            <v>21659</v>
          </cell>
          <cell r="G102">
            <v>13.261762999999998</v>
          </cell>
          <cell r="H102">
            <v>287236.52481699997</v>
          </cell>
          <cell r="I102">
            <v>57.082191780821915</v>
          </cell>
          <cell r="J102" t="str">
            <v>бутовые</v>
          </cell>
          <cell r="K102">
            <v>0</v>
          </cell>
          <cell r="L102">
            <v>60</v>
          </cell>
          <cell r="M102">
            <v>0.8</v>
          </cell>
          <cell r="N102">
            <v>0</v>
          </cell>
          <cell r="O102">
            <v>0</v>
          </cell>
          <cell r="P102">
            <v>0.8</v>
          </cell>
          <cell r="Q102">
            <v>0</v>
          </cell>
          <cell r="R102">
            <v>0</v>
          </cell>
          <cell r="S102" t="str">
            <v>Не соответствует</v>
          </cell>
          <cell r="T102">
            <v>57447</v>
          </cell>
          <cell r="U102">
            <v>757.87598944591036</v>
          </cell>
          <cell r="V102" t="e">
            <v>#DIV/0!</v>
          </cell>
          <cell r="W102" t="str">
            <v>Не соответствует</v>
          </cell>
          <cell r="X102" t="str">
            <v>хорошее</v>
          </cell>
          <cell r="Y102">
            <v>0.4</v>
          </cell>
          <cell r="Z102">
            <v>172341.91489019999</v>
          </cell>
          <cell r="AA102">
            <v>2273.6400381292874</v>
          </cell>
          <cell r="AB102" t="e">
            <v>#DIV/0!</v>
          </cell>
          <cell r="AC102" t="str">
            <v>Соответствует</v>
          </cell>
          <cell r="AD102" t="str">
            <v>Не рассчитывалась</v>
          </cell>
          <cell r="AE102" t="str">
            <v>Не рассчитывалась</v>
          </cell>
          <cell r="AF102" t="e">
            <v>#VALUE!</v>
          </cell>
          <cell r="AG102">
            <v>75.8</v>
          </cell>
          <cell r="AH102" t="str">
            <v>будет использоваться</v>
          </cell>
          <cell r="AI102" t="str">
            <v>Уточнить состояние по фото</v>
          </cell>
          <cell r="AL102">
            <v>172341.91489019999</v>
          </cell>
          <cell r="AM102" t="str">
            <v>Экспертно</v>
          </cell>
        </row>
        <row r="103">
          <cell r="A103">
            <v>153</v>
          </cell>
          <cell r="B103">
            <v>431</v>
          </cell>
          <cell r="C103" t="str">
            <v>Столярная мастерская (52) СМУ Об.S-273 кв.м. Литер Д Кад№ 23:11:0603070:179</v>
          </cell>
          <cell r="D103">
            <v>31396</v>
          </cell>
          <cell r="E103">
            <v>31396</v>
          </cell>
          <cell r="F103">
            <v>51673</v>
          </cell>
          <cell r="G103">
            <v>13.261762999999998</v>
          </cell>
          <cell r="H103">
            <v>685275.07949899987</v>
          </cell>
          <cell r="I103">
            <v>30.063013698630137</v>
          </cell>
          <cell r="J103" t="str">
            <v>каменные</v>
          </cell>
          <cell r="K103">
            <v>0</v>
          </cell>
          <cell r="L103">
            <v>60</v>
          </cell>
          <cell r="M103">
            <v>0.50105022831050228</v>
          </cell>
          <cell r="N103">
            <v>0</v>
          </cell>
          <cell r="O103">
            <v>0</v>
          </cell>
          <cell r="P103">
            <v>0.50105022831050228</v>
          </cell>
          <cell r="Q103">
            <v>14210.199999999997</v>
          </cell>
          <cell r="R103">
            <v>52.052014652014641</v>
          </cell>
          <cell r="S103" t="str">
            <v>Не соответствует</v>
          </cell>
          <cell r="T103">
            <v>341918</v>
          </cell>
          <cell r="U103">
            <v>1252.4468864468865</v>
          </cell>
          <cell r="V103">
            <v>24.061448818454355</v>
          </cell>
          <cell r="W103" t="str">
            <v>Соответствует</v>
          </cell>
          <cell r="X103" t="str">
            <v>хорошее</v>
          </cell>
          <cell r="Y103">
            <v>0.4</v>
          </cell>
          <cell r="Z103">
            <v>411165.04769939993</v>
          </cell>
          <cell r="AA103">
            <v>1506.0990758219777</v>
          </cell>
          <cell r="AB103">
            <v>28.934501111835161</v>
          </cell>
          <cell r="AC103" t="str">
            <v>Соответствует</v>
          </cell>
          <cell r="AD103" t="str">
            <v>Не рассчитывалась</v>
          </cell>
          <cell r="AE103" t="str">
            <v>Не рассчитывалась</v>
          </cell>
          <cell r="AF103" t="e">
            <v>#VALUE!</v>
          </cell>
          <cell r="AG103">
            <v>273</v>
          </cell>
          <cell r="AH103" t="str">
            <v>будет использоваться</v>
          </cell>
          <cell r="AI103">
            <v>0</v>
          </cell>
          <cell r="AL103">
            <v>341918</v>
          </cell>
          <cell r="AM103" t="str">
            <v>По сроку службы</v>
          </cell>
        </row>
        <row r="104">
          <cell r="A104">
            <v>154</v>
          </cell>
          <cell r="B104">
            <v>343</v>
          </cell>
          <cell r="C104" t="str">
            <v>Телятник на 1000 гол к-5, об.пл. 3580 кв.м. №186 Ф№4 Литер Ж Кад№ 23:11:0702000:860</v>
          </cell>
          <cell r="D104">
            <v>29935</v>
          </cell>
          <cell r="E104">
            <v>29935</v>
          </cell>
          <cell r="F104">
            <v>1334874.06</v>
          </cell>
          <cell r="G104">
            <v>13.261762999999998</v>
          </cell>
          <cell r="H104">
            <v>17702783.41856778</v>
          </cell>
          <cell r="I104">
            <v>34.065753424657537</v>
          </cell>
          <cell r="J104" t="str">
            <v>ж/б панели</v>
          </cell>
          <cell r="K104">
            <v>0</v>
          </cell>
          <cell r="L104">
            <v>50</v>
          </cell>
          <cell r="M104">
            <v>0.68131506849315071</v>
          </cell>
          <cell r="N104">
            <v>0</v>
          </cell>
          <cell r="O104">
            <v>0</v>
          </cell>
          <cell r="P104">
            <v>0.68131506849315071</v>
          </cell>
          <cell r="Q104">
            <v>909506.38000000012</v>
          </cell>
          <cell r="R104">
            <v>254.05206145251401</v>
          </cell>
          <cell r="S104" t="str">
            <v>Не соответствует</v>
          </cell>
          <cell r="T104">
            <v>5641610</v>
          </cell>
          <cell r="U104">
            <v>1575.8687150837989</v>
          </cell>
          <cell r="V104">
            <v>6.2029361465281854</v>
          </cell>
          <cell r="W104" t="str">
            <v>Не соответствует</v>
          </cell>
          <cell r="X104" t="str">
            <v>хорошее</v>
          </cell>
          <cell r="Y104">
            <v>0.4</v>
          </cell>
          <cell r="Z104">
            <v>10621670.051140668</v>
          </cell>
          <cell r="AA104">
            <v>2966.9469416594043</v>
          </cell>
          <cell r="AB104">
            <v>11.678499771646095</v>
          </cell>
          <cell r="AC104" t="str">
            <v>Соответствует</v>
          </cell>
          <cell r="AD104" t="str">
            <v>Не рассчитывалась</v>
          </cell>
          <cell r="AE104" t="str">
            <v>Не рассчитывалась</v>
          </cell>
          <cell r="AF104" t="e">
            <v>#VALUE!</v>
          </cell>
          <cell r="AG104">
            <v>3580</v>
          </cell>
          <cell r="AH104" t="str">
            <v>будет использоваться</v>
          </cell>
          <cell r="AI104">
            <v>0</v>
          </cell>
          <cell r="AL104">
            <v>10621670.051140668</v>
          </cell>
          <cell r="AM104" t="str">
            <v>Экспертно</v>
          </cell>
        </row>
        <row r="105">
          <cell r="A105">
            <v>155</v>
          </cell>
          <cell r="B105">
            <v>346</v>
          </cell>
          <cell r="C105" t="str">
            <v>Телятник на 150 гол,к-1 №181 Ф№4 Об.пл. 1043 кв.м. Литер А Кад№  23:11:0702000:866</v>
          </cell>
          <cell r="D105">
            <v>20804</v>
          </cell>
          <cell r="E105">
            <v>20804</v>
          </cell>
          <cell r="F105">
            <v>704364</v>
          </cell>
          <cell r="G105">
            <v>13.261762999999998</v>
          </cell>
          <cell r="H105">
            <v>9341108.4337319992</v>
          </cell>
          <cell r="I105">
            <v>59.082191780821915</v>
          </cell>
          <cell r="J105" t="str">
            <v>камни бутовые</v>
          </cell>
          <cell r="K105">
            <v>0</v>
          </cell>
          <cell r="L105">
            <v>60</v>
          </cell>
          <cell r="M105">
            <v>0.8</v>
          </cell>
          <cell r="N105">
            <v>0</v>
          </cell>
          <cell r="O105">
            <v>0</v>
          </cell>
          <cell r="P105">
            <v>0.8</v>
          </cell>
          <cell r="Q105">
            <v>440227.24</v>
          </cell>
          <cell r="R105">
            <v>422.07789069990412</v>
          </cell>
          <cell r="S105">
            <v>0</v>
          </cell>
          <cell r="T105">
            <v>1868222</v>
          </cell>
          <cell r="U105">
            <v>1791.2003835091084</v>
          </cell>
          <cell r="V105">
            <v>4.2437673779568934</v>
          </cell>
          <cell r="W105">
            <v>0</v>
          </cell>
          <cell r="X105">
            <v>0</v>
          </cell>
          <cell r="Y105">
            <v>0</v>
          </cell>
          <cell r="Z105" t="str">
            <v/>
          </cell>
          <cell r="AA105" t="str">
            <v/>
          </cell>
          <cell r="AB105" t="e">
            <v>#VALUE!</v>
          </cell>
          <cell r="AC105">
            <v>0</v>
          </cell>
          <cell r="AD105" t="str">
            <v>Не рассчитывалась</v>
          </cell>
          <cell r="AE105" t="str">
            <v>Не рассчитывалась</v>
          </cell>
          <cell r="AF105" t="e">
            <v>#VALUE!</v>
          </cell>
          <cell r="AG105">
            <v>1043</v>
          </cell>
          <cell r="AH105" t="str">
            <v>не будет использоваться</v>
          </cell>
          <cell r="AI105">
            <v>0</v>
          </cell>
          <cell r="AL105">
            <v>0</v>
          </cell>
          <cell r="AM105" t="str">
            <v>Не рассчитывалась</v>
          </cell>
        </row>
        <row r="106">
          <cell r="A106">
            <v>156</v>
          </cell>
          <cell r="B106">
            <v>344</v>
          </cell>
          <cell r="C106" t="str">
            <v>Телятник на 200 гол, к3 №183 Ф№4 Об.пл. 499,8 кв.м.  Литер Б Кад № 23:11:0702000:862</v>
          </cell>
          <cell r="D106">
            <v>28109</v>
          </cell>
          <cell r="E106">
            <v>28109</v>
          </cell>
          <cell r="F106">
            <v>461146.8</v>
          </cell>
          <cell r="G106">
            <v>13.261762999999998</v>
          </cell>
          <cell r="H106">
            <v>6115619.5698083993</v>
          </cell>
          <cell r="I106">
            <v>39.06849315068493</v>
          </cell>
          <cell r="J106" t="str">
            <v>кирпичные</v>
          </cell>
          <cell r="K106">
            <v>0</v>
          </cell>
          <cell r="L106">
            <v>60</v>
          </cell>
          <cell r="M106">
            <v>0.65114155251141548</v>
          </cell>
          <cell r="N106">
            <v>0</v>
          </cell>
          <cell r="O106">
            <v>0</v>
          </cell>
          <cell r="P106">
            <v>0.65114155251141548</v>
          </cell>
          <cell r="Q106">
            <v>288216.76</v>
          </cell>
          <cell r="R106">
            <v>576.66418567426967</v>
          </cell>
          <cell r="S106" t="str">
            <v>Не соответствует</v>
          </cell>
          <cell r="T106">
            <v>2133486</v>
          </cell>
          <cell r="U106">
            <v>4268.6794717887151</v>
          </cell>
          <cell r="V106">
            <v>7.4023661913346048</v>
          </cell>
          <cell r="W106" t="str">
            <v>Соответствует</v>
          </cell>
          <cell r="X106" t="str">
            <v>хорошее</v>
          </cell>
          <cell r="Y106">
            <v>0.3</v>
          </cell>
          <cell r="Z106">
            <v>4280933.6988658793</v>
          </cell>
          <cell r="AA106">
            <v>8565.2935151378133</v>
          </cell>
          <cell r="AB106">
            <v>14.85317404465264</v>
          </cell>
          <cell r="AC106" t="str">
            <v>Не соответствует</v>
          </cell>
          <cell r="AD106">
            <v>3275818</v>
          </cell>
          <cell r="AE106">
            <v>6554.2577030812326</v>
          </cell>
          <cell r="AF106">
            <v>11.365813702159445</v>
          </cell>
          <cell r="AG106">
            <v>499.8</v>
          </cell>
          <cell r="AH106" t="str">
            <v>будет использоваться</v>
          </cell>
          <cell r="AI106">
            <v>0</v>
          </cell>
          <cell r="AL106">
            <v>2133486</v>
          </cell>
          <cell r="AM106" t="str">
            <v>По сроку службы</v>
          </cell>
        </row>
        <row r="107">
          <cell r="A107">
            <v>157</v>
          </cell>
          <cell r="B107">
            <v>347</v>
          </cell>
          <cell r="C107" t="str">
            <v>Телятник на 200 гол,к-2№182 Ф№4 об.пл 478,2 кв.м. Литер В Кад№ 23:11:0702000:861</v>
          </cell>
          <cell r="D107">
            <v>22995</v>
          </cell>
          <cell r="E107">
            <v>22995</v>
          </cell>
          <cell r="F107">
            <v>171740</v>
          </cell>
          <cell r="G107">
            <v>13.261762999999998</v>
          </cell>
          <cell r="H107">
            <v>2277575.1776199997</v>
          </cell>
          <cell r="I107">
            <v>53.079452054794523</v>
          </cell>
          <cell r="J107" t="str">
            <v>кирпичные</v>
          </cell>
          <cell r="K107">
            <v>0</v>
          </cell>
          <cell r="L107">
            <v>60</v>
          </cell>
          <cell r="M107">
            <v>0.8</v>
          </cell>
          <cell r="N107">
            <v>0</v>
          </cell>
          <cell r="O107">
            <v>0</v>
          </cell>
          <cell r="P107">
            <v>0.8</v>
          </cell>
          <cell r="Q107">
            <v>107337.72</v>
          </cell>
          <cell r="R107">
            <v>224.46198243412798</v>
          </cell>
          <cell r="S107" t="str">
            <v>Не соответствует</v>
          </cell>
          <cell r="T107">
            <v>455515</v>
          </cell>
          <cell r="U107">
            <v>952.56168966959433</v>
          </cell>
          <cell r="V107">
            <v>4.2437551310014783</v>
          </cell>
          <cell r="W107" t="str">
            <v>Не соответствует</v>
          </cell>
          <cell r="X107" t="str">
            <v>хорошее</v>
          </cell>
          <cell r="Y107">
            <v>0.3</v>
          </cell>
          <cell r="Z107">
            <v>1594302.6243339998</v>
          </cell>
          <cell r="AA107">
            <v>3333.9661738477621</v>
          </cell>
          <cell r="AB107">
            <v>14.853144116849135</v>
          </cell>
          <cell r="AC107" t="str">
            <v>Соответствует</v>
          </cell>
          <cell r="AD107" t="str">
            <v>Не рассчитывалась</v>
          </cell>
          <cell r="AE107" t="str">
            <v>Не рассчитывалась</v>
          </cell>
          <cell r="AF107" t="e">
            <v>#VALUE!</v>
          </cell>
          <cell r="AG107">
            <v>478.2</v>
          </cell>
          <cell r="AH107" t="str">
            <v>будет использоваться</v>
          </cell>
          <cell r="AI107" t="str">
            <v>Уточнить состояние по фото</v>
          </cell>
          <cell r="AL107">
            <v>1594302.6243339998</v>
          </cell>
          <cell r="AM107" t="str">
            <v>Экспертно</v>
          </cell>
        </row>
        <row r="108">
          <cell r="A108">
            <v>158</v>
          </cell>
          <cell r="B108">
            <v>345</v>
          </cell>
          <cell r="C108" t="str">
            <v>Телятник на 400 гол,к-4 №184 Ф№4  об.пл. 1778,8 кв.м. Литер Д Кад№ 23:11:0702000:864</v>
          </cell>
          <cell r="D108">
            <v>28839</v>
          </cell>
          <cell r="E108">
            <v>28839</v>
          </cell>
          <cell r="F108">
            <v>1539843.73</v>
          </cell>
          <cell r="G108">
            <v>13.261762999999998</v>
          </cell>
          <cell r="H108">
            <v>20421042.604295988</v>
          </cell>
          <cell r="I108">
            <v>37.06849315068493</v>
          </cell>
          <cell r="J108" t="str">
            <v>ж/б панели</v>
          </cell>
          <cell r="K108">
            <v>0</v>
          </cell>
          <cell r="L108">
            <v>50</v>
          </cell>
          <cell r="M108">
            <v>0.74136986301369856</v>
          </cell>
          <cell r="N108">
            <v>0</v>
          </cell>
          <cell r="O108">
            <v>0</v>
          </cell>
          <cell r="P108">
            <v>0.74136986301369856</v>
          </cell>
          <cell r="Q108">
            <v>950775.97</v>
          </cell>
          <cell r="R108">
            <v>534.50414324263545</v>
          </cell>
          <cell r="S108" t="str">
            <v>Не соответствует</v>
          </cell>
          <cell r="T108">
            <v>5281497</v>
          </cell>
          <cell r="U108">
            <v>2969.1348099842589</v>
          </cell>
          <cell r="V108">
            <v>5.5549331984063501</v>
          </cell>
          <cell r="W108" t="str">
            <v>Соответствует</v>
          </cell>
          <cell r="X108" t="str">
            <v>хорошее</v>
          </cell>
          <cell r="Y108">
            <v>0.4</v>
          </cell>
          <cell r="Z108">
            <v>12252625.562577592</v>
          </cell>
          <cell r="AA108">
            <v>6888.1411977611833</v>
          </cell>
          <cell r="AB108">
            <v>12.886974375864371</v>
          </cell>
          <cell r="AC108" t="str">
            <v>Не соответствует</v>
          </cell>
          <cell r="AD108" t="str">
            <v>Не рассчитывалась</v>
          </cell>
          <cell r="AE108" t="str">
            <v>Не рассчитывалась</v>
          </cell>
          <cell r="AF108" t="e">
            <v>#VALUE!</v>
          </cell>
          <cell r="AG108">
            <v>1778.8</v>
          </cell>
          <cell r="AH108" t="str">
            <v>будет использоваться</v>
          </cell>
          <cell r="AI108">
            <v>0</v>
          </cell>
          <cell r="AL108">
            <v>5281497</v>
          </cell>
          <cell r="AM108" t="str">
            <v>По сроку службы</v>
          </cell>
        </row>
        <row r="109">
          <cell r="A109">
            <v>160</v>
          </cell>
          <cell r="B109">
            <v>672</v>
          </cell>
          <cell r="C109" t="str">
            <v>Хранилище для сена МТФ №4    Литер:К Об.S-2090,8 кв.м.Кад№ 23:11:0607000:2144</v>
          </cell>
          <cell r="D109">
            <v>28474</v>
          </cell>
          <cell r="E109">
            <v>28474</v>
          </cell>
          <cell r="F109">
            <v>591300</v>
          </cell>
          <cell r="G109">
            <v>13.261762999999998</v>
          </cell>
          <cell r="H109">
            <v>7841680.4618999986</v>
          </cell>
          <cell r="I109">
            <v>38.06849315068493</v>
          </cell>
          <cell r="J109" t="str">
            <v>ж/б блоки</v>
          </cell>
          <cell r="K109">
            <v>0</v>
          </cell>
          <cell r="L109">
            <v>50</v>
          </cell>
          <cell r="M109">
            <v>0.76136986301369858</v>
          </cell>
          <cell r="N109">
            <v>0</v>
          </cell>
          <cell r="O109">
            <v>0</v>
          </cell>
          <cell r="P109">
            <v>0.76136986301369858</v>
          </cell>
          <cell r="Q109">
            <v>0</v>
          </cell>
          <cell r="R109">
            <v>0</v>
          </cell>
          <cell r="S109" t="str">
            <v>Не соответствует</v>
          </cell>
          <cell r="T109">
            <v>1871261</v>
          </cell>
          <cell r="U109">
            <v>894.99760857088188</v>
          </cell>
          <cell r="V109" t="e">
            <v>#DIV/0!</v>
          </cell>
          <cell r="W109" t="str">
            <v>Не соответствует</v>
          </cell>
          <cell r="X109" t="str">
            <v>удовлетворительное</v>
          </cell>
          <cell r="Y109">
            <v>0.55000000000000004</v>
          </cell>
          <cell r="Z109">
            <v>3528756.2078549992</v>
          </cell>
          <cell r="AA109">
            <v>1687.7540691864353</v>
          </cell>
          <cell r="AB109" t="e">
            <v>#DIV/0!</v>
          </cell>
          <cell r="AC109" t="str">
            <v>Соответствует</v>
          </cell>
          <cell r="AD109" t="str">
            <v>Не рассчитывалась</v>
          </cell>
          <cell r="AE109" t="str">
            <v>Не рассчитывалась</v>
          </cell>
          <cell r="AF109" t="e">
            <v>#VALUE!</v>
          </cell>
          <cell r="AG109">
            <v>2090.8000000000002</v>
          </cell>
          <cell r="AH109" t="str">
            <v>будет использоваться</v>
          </cell>
          <cell r="AI109" t="str">
            <v>Уточнить состояние по фото</v>
          </cell>
          <cell r="AL109">
            <v>3528756.2078549992</v>
          </cell>
          <cell r="AM109" t="str">
            <v>Экспертно</v>
          </cell>
        </row>
        <row r="110">
          <cell r="A110">
            <v>161</v>
          </cell>
          <cell r="B110">
            <v>330</v>
          </cell>
          <cell r="C110" t="str">
            <v>Хранилище для сена на 1000 тонн №187 Ф№4  Литер З Об.S-2060,3 Кад№ 23:11:0607000:2143</v>
          </cell>
          <cell r="D110">
            <v>30300</v>
          </cell>
          <cell r="E110">
            <v>30300</v>
          </cell>
          <cell r="F110">
            <v>1013354</v>
          </cell>
          <cell r="G110">
            <v>13.261762999999998</v>
          </cell>
          <cell r="H110">
            <v>13438860.583101999</v>
          </cell>
          <cell r="I110">
            <v>33.065753424657537</v>
          </cell>
          <cell r="J110" t="str">
            <v>ж/б блоки</v>
          </cell>
          <cell r="K110">
            <v>0</v>
          </cell>
          <cell r="L110">
            <v>50</v>
          </cell>
          <cell r="M110">
            <v>0.66131506849315069</v>
          </cell>
          <cell r="N110">
            <v>0</v>
          </cell>
          <cell r="O110">
            <v>0</v>
          </cell>
          <cell r="P110">
            <v>0.66131506849315069</v>
          </cell>
          <cell r="Q110">
            <v>552441.76</v>
          </cell>
          <cell r="R110">
            <v>268.13656263650921</v>
          </cell>
          <cell r="S110" t="str">
            <v>Не соответствует</v>
          </cell>
          <cell r="T110">
            <v>4551540</v>
          </cell>
          <cell r="U110">
            <v>2209.1637140222297</v>
          </cell>
          <cell r="V110">
            <v>8.2389499302152682</v>
          </cell>
          <cell r="W110" t="str">
            <v>Не соответствует</v>
          </cell>
          <cell r="X110" t="str">
            <v>неудовлетворительное</v>
          </cell>
          <cell r="Y110">
            <v>0.8</v>
          </cell>
          <cell r="Z110">
            <v>2687772.1166203991</v>
          </cell>
          <cell r="AA110">
            <v>1304.553762374605</v>
          </cell>
          <cell r="AB110">
            <v>4.8652587679475916</v>
          </cell>
          <cell r="AC110" t="str">
            <v>Соответствует</v>
          </cell>
          <cell r="AD110" t="str">
            <v>Не рассчитывалась</v>
          </cell>
          <cell r="AE110" t="str">
            <v>Не рассчитывалась</v>
          </cell>
          <cell r="AF110" t="e">
            <v>#VALUE!</v>
          </cell>
          <cell r="AG110">
            <v>2060.3000000000002</v>
          </cell>
          <cell r="AH110" t="str">
            <v>будет использоваться</v>
          </cell>
          <cell r="AI110">
            <v>0</v>
          </cell>
          <cell r="AL110">
            <v>2687772.1166203991</v>
          </cell>
          <cell r="AM110" t="str">
            <v>Экспертно</v>
          </cell>
        </row>
        <row r="111">
          <cell r="A111">
            <v>162</v>
          </cell>
          <cell r="B111">
            <v>575</v>
          </cell>
          <cell r="C111" t="str">
            <v>Авто-дорога с гравийным покрытием   477</v>
          </cell>
          <cell r="D111">
            <v>29570</v>
          </cell>
          <cell r="E111">
            <v>29570</v>
          </cell>
          <cell r="F111">
            <v>41446</v>
          </cell>
          <cell r="G111">
            <v>13.261762999999998</v>
          </cell>
          <cell r="H111">
            <v>549647.02929799992</v>
          </cell>
          <cell r="I111">
            <v>35.065753424657537</v>
          </cell>
          <cell r="J111" t="str">
            <v>Гравий</v>
          </cell>
          <cell r="K111">
            <v>0</v>
          </cell>
          <cell r="L111">
            <v>10</v>
          </cell>
          <cell r="M111">
            <v>0.8</v>
          </cell>
          <cell r="N111">
            <v>0</v>
          </cell>
          <cell r="O111">
            <v>0</v>
          </cell>
          <cell r="P111">
            <v>0.8</v>
          </cell>
          <cell r="Q111">
            <v>0</v>
          </cell>
          <cell r="R111" t="e">
            <v>#DIV/0!</v>
          </cell>
          <cell r="S111">
            <v>0</v>
          </cell>
          <cell r="T111">
            <v>109929</v>
          </cell>
          <cell r="U111" t="e">
            <v>#DIV/0!</v>
          </cell>
          <cell r="V111" t="e">
            <v>#DIV/0!</v>
          </cell>
          <cell r="W111">
            <v>0</v>
          </cell>
          <cell r="X111">
            <v>0</v>
          </cell>
          <cell r="Y111">
            <v>0</v>
          </cell>
          <cell r="Z111" t="str">
            <v/>
          </cell>
          <cell r="AA111" t="str">
            <v/>
          </cell>
          <cell r="AB111" t="e">
            <v>#VALUE!</v>
          </cell>
          <cell r="AC111">
            <v>0</v>
          </cell>
          <cell r="AD111" t="str">
            <v>Не рассчитывалась</v>
          </cell>
          <cell r="AE111" t="str">
            <v>Не рассчитывалась</v>
          </cell>
          <cell r="AF111" t="e">
            <v>#VALUE!</v>
          </cell>
          <cell r="AG111">
            <v>0</v>
          </cell>
          <cell r="AH111" t="str">
            <v>не будет использоваться</v>
          </cell>
          <cell r="AI111" t="str">
            <v>Уточнить состояние по фото</v>
          </cell>
          <cell r="AL111">
            <v>0</v>
          </cell>
          <cell r="AM111" t="str">
            <v>Не рассчитывалась</v>
          </cell>
        </row>
        <row r="112">
          <cell r="A112">
            <v>163</v>
          </cell>
          <cell r="B112">
            <v>576</v>
          </cell>
          <cell r="C112" t="str">
            <v>Авто-дорога с гравийным покрытием к АХК</v>
          </cell>
          <cell r="D112">
            <v>28109</v>
          </cell>
          <cell r="E112">
            <v>28109</v>
          </cell>
          <cell r="F112">
            <v>165787</v>
          </cell>
          <cell r="G112">
            <v>13.261762999999998</v>
          </cell>
          <cell r="H112">
            <v>2198627.9024809999</v>
          </cell>
          <cell r="I112">
            <v>39.06849315068493</v>
          </cell>
          <cell r="J112" t="str">
            <v>Гравий</v>
          </cell>
          <cell r="K112">
            <v>0</v>
          </cell>
          <cell r="L112">
            <v>10</v>
          </cell>
          <cell r="M112">
            <v>0.8</v>
          </cell>
          <cell r="N112">
            <v>0</v>
          </cell>
          <cell r="O112">
            <v>0</v>
          </cell>
          <cell r="P112">
            <v>0.8</v>
          </cell>
          <cell r="Q112">
            <v>0</v>
          </cell>
          <cell r="R112" t="e">
            <v>#DIV/0!</v>
          </cell>
          <cell r="S112">
            <v>0</v>
          </cell>
          <cell r="T112">
            <v>439726</v>
          </cell>
          <cell r="U112" t="e">
            <v>#DIV/0!</v>
          </cell>
          <cell r="V112" t="e">
            <v>#DIV/0!</v>
          </cell>
          <cell r="W112">
            <v>0</v>
          </cell>
          <cell r="X112">
            <v>0</v>
          </cell>
          <cell r="Y112">
            <v>0</v>
          </cell>
          <cell r="Z112" t="str">
            <v/>
          </cell>
          <cell r="AA112" t="str">
            <v/>
          </cell>
          <cell r="AB112" t="e">
            <v>#VALUE!</v>
          </cell>
          <cell r="AC112">
            <v>0</v>
          </cell>
          <cell r="AD112" t="str">
            <v>Не рассчитывалась</v>
          </cell>
          <cell r="AE112" t="str">
            <v>Не рассчитывалась</v>
          </cell>
          <cell r="AF112" t="e">
            <v>#VALUE!</v>
          </cell>
          <cell r="AG112">
            <v>0</v>
          </cell>
          <cell r="AH112" t="str">
            <v>не будет использоваться</v>
          </cell>
          <cell r="AI112" t="str">
            <v>Уточнить состояние по фото</v>
          </cell>
          <cell r="AL112">
            <v>0</v>
          </cell>
          <cell r="AM112" t="str">
            <v>Не рассчитывалась</v>
          </cell>
        </row>
        <row r="113">
          <cell r="A113">
            <v>164</v>
          </cell>
          <cell r="B113">
            <v>574</v>
          </cell>
          <cell r="C113" t="str">
            <v>Авто-дорога с гравийным покрытием к бр 2</v>
          </cell>
          <cell r="D113">
            <v>33953</v>
          </cell>
          <cell r="E113">
            <v>33953</v>
          </cell>
          <cell r="F113">
            <v>51443</v>
          </cell>
          <cell r="G113">
            <v>13.261762999999998</v>
          </cell>
          <cell r="H113">
            <v>682224.8740089999</v>
          </cell>
          <cell r="I113">
            <v>23.057534246575344</v>
          </cell>
          <cell r="J113" t="str">
            <v>Гравий</v>
          </cell>
          <cell r="K113">
            <v>0</v>
          </cell>
          <cell r="L113">
            <v>10</v>
          </cell>
          <cell r="M113">
            <v>0.8</v>
          </cell>
          <cell r="N113">
            <v>0</v>
          </cell>
          <cell r="O113">
            <v>0</v>
          </cell>
          <cell r="P113">
            <v>0.8</v>
          </cell>
          <cell r="Q113">
            <v>0</v>
          </cell>
          <cell r="R113" t="e">
            <v>#DIV/0!</v>
          </cell>
          <cell r="S113">
            <v>0</v>
          </cell>
          <cell r="T113">
            <v>136445</v>
          </cell>
          <cell r="U113" t="e">
            <v>#DIV/0!</v>
          </cell>
          <cell r="V113" t="e">
            <v>#DIV/0!</v>
          </cell>
          <cell r="W113">
            <v>0</v>
          </cell>
          <cell r="X113">
            <v>0</v>
          </cell>
          <cell r="Y113">
            <v>0</v>
          </cell>
          <cell r="Z113" t="str">
            <v/>
          </cell>
          <cell r="AA113" t="str">
            <v/>
          </cell>
          <cell r="AB113" t="e">
            <v>#VALUE!</v>
          </cell>
          <cell r="AC113">
            <v>0</v>
          </cell>
          <cell r="AD113" t="str">
            <v>Не рассчитывалась</v>
          </cell>
          <cell r="AE113" t="str">
            <v>Не рассчитывалась</v>
          </cell>
          <cell r="AF113" t="e">
            <v>#VALUE!</v>
          </cell>
          <cell r="AG113">
            <v>0</v>
          </cell>
          <cell r="AH113" t="str">
            <v>не будет использоваться</v>
          </cell>
          <cell r="AI113" t="str">
            <v>Уточнить состояние по фото</v>
          </cell>
          <cell r="AL113">
            <v>0</v>
          </cell>
          <cell r="AM113" t="str">
            <v>Не рассчитывалась</v>
          </cell>
        </row>
        <row r="114">
          <cell r="A114">
            <v>165</v>
          </cell>
          <cell r="B114">
            <v>573</v>
          </cell>
          <cell r="C114" t="str">
            <v>Авто-дорога с гравийным покрытием к МТФ-2(роща)</v>
          </cell>
          <cell r="D114">
            <v>30665</v>
          </cell>
          <cell r="E114">
            <v>30665</v>
          </cell>
          <cell r="F114">
            <v>279761</v>
          </cell>
          <cell r="G114">
            <v>13.261762999999998</v>
          </cell>
          <cell r="H114">
            <v>3710124.0786429998</v>
          </cell>
          <cell r="I114">
            <v>32.065753424657537</v>
          </cell>
          <cell r="J114" t="str">
            <v>Гравий</v>
          </cell>
          <cell r="K114">
            <v>0</v>
          </cell>
          <cell r="L114">
            <v>10</v>
          </cell>
          <cell r="M114">
            <v>0.8</v>
          </cell>
          <cell r="N114">
            <v>0</v>
          </cell>
          <cell r="O114">
            <v>0</v>
          </cell>
          <cell r="P114">
            <v>0.8</v>
          </cell>
          <cell r="Q114">
            <v>0</v>
          </cell>
          <cell r="R114" t="e">
            <v>#DIV/0!</v>
          </cell>
          <cell r="S114">
            <v>0</v>
          </cell>
          <cell r="T114">
            <v>742025</v>
          </cell>
          <cell r="U114" t="e">
            <v>#DIV/0!</v>
          </cell>
          <cell r="V114" t="e">
            <v>#DIV/0!</v>
          </cell>
          <cell r="W114">
            <v>0</v>
          </cell>
          <cell r="X114">
            <v>0</v>
          </cell>
          <cell r="Y114">
            <v>0</v>
          </cell>
          <cell r="Z114" t="str">
            <v/>
          </cell>
          <cell r="AA114" t="str">
            <v/>
          </cell>
          <cell r="AB114" t="e">
            <v>#VALUE!</v>
          </cell>
          <cell r="AC114">
            <v>0</v>
          </cell>
          <cell r="AD114" t="str">
            <v>Не рассчитывалась</v>
          </cell>
          <cell r="AE114" t="str">
            <v>Не рассчитывалась</v>
          </cell>
          <cell r="AF114" t="e">
            <v>#VALUE!</v>
          </cell>
          <cell r="AG114">
            <v>0</v>
          </cell>
          <cell r="AH114" t="str">
            <v>не будет использоваться</v>
          </cell>
          <cell r="AI114" t="str">
            <v>Уточнить состояние по фото</v>
          </cell>
          <cell r="AL114">
            <v>0</v>
          </cell>
          <cell r="AM114" t="str">
            <v>Не рассчитывалась</v>
          </cell>
        </row>
        <row r="115">
          <cell r="A115">
            <v>166</v>
          </cell>
          <cell r="B115">
            <v>583</v>
          </cell>
          <cell r="C115" t="str">
            <v>Авто-дорога с гравийным покрытием ул.40 лет Октября</v>
          </cell>
          <cell r="D115">
            <v>33953</v>
          </cell>
          <cell r="E115">
            <v>33953</v>
          </cell>
          <cell r="F115">
            <v>114200</v>
          </cell>
          <cell r="G115">
            <v>13.261762999999998</v>
          </cell>
          <cell r="H115">
            <v>1514493.3345999997</v>
          </cell>
          <cell r="I115">
            <v>23.057534246575344</v>
          </cell>
          <cell r="J115" t="str">
            <v>Гравий</v>
          </cell>
          <cell r="K115">
            <v>0</v>
          </cell>
          <cell r="L115">
            <v>10</v>
          </cell>
          <cell r="M115">
            <v>0.8</v>
          </cell>
          <cell r="N115">
            <v>0</v>
          </cell>
          <cell r="O115">
            <v>0</v>
          </cell>
          <cell r="P115">
            <v>0.8</v>
          </cell>
          <cell r="Q115">
            <v>0</v>
          </cell>
          <cell r="R115" t="e">
            <v>#DIV/0!</v>
          </cell>
          <cell r="S115">
            <v>0</v>
          </cell>
          <cell r="T115">
            <v>302899</v>
          </cell>
          <cell r="U115" t="e">
            <v>#DIV/0!</v>
          </cell>
          <cell r="V115" t="e">
            <v>#DIV/0!</v>
          </cell>
          <cell r="W115">
            <v>0</v>
          </cell>
          <cell r="X115">
            <v>0</v>
          </cell>
          <cell r="Y115">
            <v>0</v>
          </cell>
          <cell r="Z115" t="str">
            <v/>
          </cell>
          <cell r="AA115" t="str">
            <v/>
          </cell>
          <cell r="AB115" t="e">
            <v>#VALUE!</v>
          </cell>
          <cell r="AC115">
            <v>0</v>
          </cell>
          <cell r="AD115" t="str">
            <v>Не рассчитывалась</v>
          </cell>
          <cell r="AE115" t="str">
            <v>Не рассчитывалась</v>
          </cell>
          <cell r="AF115" t="e">
            <v>#VALUE!</v>
          </cell>
          <cell r="AG115">
            <v>0</v>
          </cell>
          <cell r="AH115" t="str">
            <v>не будет использоваться</v>
          </cell>
          <cell r="AI115" t="str">
            <v>Уточнить состояние по фото</v>
          </cell>
          <cell r="AL115">
            <v>0</v>
          </cell>
          <cell r="AM115" t="str">
            <v>Не рассчитывалась</v>
          </cell>
        </row>
        <row r="116">
          <cell r="A116">
            <v>167</v>
          </cell>
          <cell r="B116">
            <v>582</v>
          </cell>
          <cell r="C116" t="str">
            <v>Авто-дорога с гравийным покрытием ул.Гагарина</v>
          </cell>
          <cell r="D116">
            <v>33953</v>
          </cell>
          <cell r="E116">
            <v>33953</v>
          </cell>
          <cell r="F116">
            <v>600100</v>
          </cell>
          <cell r="G116">
            <v>13.261762999999998</v>
          </cell>
          <cell r="H116">
            <v>7958383.9762999993</v>
          </cell>
          <cell r="I116">
            <v>23.057534246575344</v>
          </cell>
          <cell r="J116" t="str">
            <v>Гравий</v>
          </cell>
          <cell r="K116">
            <v>0</v>
          </cell>
          <cell r="L116">
            <v>10</v>
          </cell>
          <cell r="M116">
            <v>0.8</v>
          </cell>
          <cell r="N116">
            <v>0</v>
          </cell>
          <cell r="O116">
            <v>0</v>
          </cell>
          <cell r="P116">
            <v>0.8</v>
          </cell>
          <cell r="Q116">
            <v>0</v>
          </cell>
          <cell r="R116" t="e">
            <v>#DIV/0!</v>
          </cell>
          <cell r="S116" t="str">
            <v>Не соответствует</v>
          </cell>
          <cell r="T116">
            <v>1591677</v>
          </cell>
          <cell r="U116" t="e">
            <v>#DIV/0!</v>
          </cell>
          <cell r="V116" t="e">
            <v>#DIV/0!</v>
          </cell>
          <cell r="W116" t="str">
            <v>Соответствует</v>
          </cell>
          <cell r="X116">
            <v>0</v>
          </cell>
          <cell r="Y116">
            <v>0</v>
          </cell>
          <cell r="Z116" t="str">
            <v/>
          </cell>
          <cell r="AA116" t="str">
            <v/>
          </cell>
          <cell r="AB116" t="e">
            <v>#VALUE!</v>
          </cell>
          <cell r="AC116" t="str">
            <v>Не рассчитывалась</v>
          </cell>
          <cell r="AD116" t="str">
            <v>Не рассчитывалась</v>
          </cell>
          <cell r="AE116" t="str">
            <v>Не рассчитывалась</v>
          </cell>
          <cell r="AF116" t="e">
            <v>#VALUE!</v>
          </cell>
          <cell r="AG116">
            <v>0</v>
          </cell>
          <cell r="AH116" t="str">
            <v>будет использоваться</v>
          </cell>
          <cell r="AI116" t="str">
            <v>Уточнить состояние по фото</v>
          </cell>
          <cell r="AJ116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16">
            <v>1591677</v>
          </cell>
          <cell r="AM116" t="str">
            <v>По сроку службы</v>
          </cell>
        </row>
        <row r="117">
          <cell r="A117">
            <v>168</v>
          </cell>
          <cell r="B117">
            <v>579</v>
          </cell>
          <cell r="C117" t="str">
            <v>Авто-дорога с гравийным покрытием ул.Лесная</v>
          </cell>
          <cell r="D117">
            <v>33587</v>
          </cell>
          <cell r="E117">
            <v>33587</v>
          </cell>
          <cell r="F117">
            <v>1347600</v>
          </cell>
          <cell r="G117">
            <v>13.261762999999998</v>
          </cell>
          <cell r="H117">
            <v>17871551.818799999</v>
          </cell>
          <cell r="I117">
            <v>24.06027397260274</v>
          </cell>
          <cell r="J117" t="str">
            <v>Гравий</v>
          </cell>
          <cell r="K117">
            <v>0</v>
          </cell>
          <cell r="L117">
            <v>10</v>
          </cell>
          <cell r="M117">
            <v>0.8</v>
          </cell>
          <cell r="N117">
            <v>0</v>
          </cell>
          <cell r="O117">
            <v>0</v>
          </cell>
          <cell r="P117">
            <v>0.8</v>
          </cell>
          <cell r="Q117">
            <v>0</v>
          </cell>
          <cell r="R117" t="e">
            <v>#DIV/0!</v>
          </cell>
          <cell r="S117" t="str">
            <v>Не соответствует</v>
          </cell>
          <cell r="T117">
            <v>3574310</v>
          </cell>
          <cell r="U117" t="e">
            <v>#DIV/0!</v>
          </cell>
          <cell r="V117" t="e">
            <v>#DIV/0!</v>
          </cell>
          <cell r="W117" t="str">
            <v>Соответствует</v>
          </cell>
          <cell r="X117">
            <v>0</v>
          </cell>
          <cell r="Y117">
            <v>0</v>
          </cell>
          <cell r="Z117" t="str">
            <v/>
          </cell>
          <cell r="AA117" t="str">
            <v/>
          </cell>
          <cell r="AB117" t="e">
            <v>#VALUE!</v>
          </cell>
          <cell r="AC117" t="str">
            <v>Не рассчитывалась</v>
          </cell>
          <cell r="AD117" t="str">
            <v>Не рассчитывалась</v>
          </cell>
          <cell r="AE117" t="str">
            <v>Не рассчитывалась</v>
          </cell>
          <cell r="AF117" t="e">
            <v>#VALUE!</v>
          </cell>
          <cell r="AG117">
            <v>0</v>
          </cell>
          <cell r="AH117" t="str">
            <v>будет использоваться</v>
          </cell>
          <cell r="AI117" t="str">
            <v>Уточнить состояние по фото</v>
          </cell>
          <cell r="AJ117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17">
            <v>3574310</v>
          </cell>
          <cell r="AM117" t="str">
            <v>По сроку службы</v>
          </cell>
        </row>
        <row r="118">
          <cell r="A118">
            <v>169</v>
          </cell>
          <cell r="B118">
            <v>578</v>
          </cell>
          <cell r="C118" t="str">
            <v>Авто-дорога с гравийным покрытием ул.Партизанская</v>
          </cell>
          <cell r="D118">
            <v>33587</v>
          </cell>
          <cell r="E118">
            <v>33587</v>
          </cell>
          <cell r="F118">
            <v>844000</v>
          </cell>
          <cell r="G118">
            <v>13.261762999999998</v>
          </cell>
          <cell r="H118">
            <v>11192927.971999999</v>
          </cell>
          <cell r="I118">
            <v>24.06027397260274</v>
          </cell>
          <cell r="J118" t="str">
            <v>Гравий</v>
          </cell>
          <cell r="K118">
            <v>0</v>
          </cell>
          <cell r="L118">
            <v>10</v>
          </cell>
          <cell r="M118">
            <v>0.8</v>
          </cell>
          <cell r="N118">
            <v>0</v>
          </cell>
          <cell r="O118">
            <v>0</v>
          </cell>
          <cell r="P118">
            <v>0.8</v>
          </cell>
          <cell r="Q118">
            <v>0</v>
          </cell>
          <cell r="R118" t="e">
            <v>#DIV/0!</v>
          </cell>
          <cell r="S118" t="str">
            <v>Не соответствует</v>
          </cell>
          <cell r="T118">
            <v>2238586</v>
          </cell>
          <cell r="U118" t="e">
            <v>#DIV/0!</v>
          </cell>
          <cell r="V118" t="e">
            <v>#DIV/0!</v>
          </cell>
          <cell r="W118" t="str">
            <v>Соответствует</v>
          </cell>
          <cell r="X118">
            <v>0</v>
          </cell>
          <cell r="Y118">
            <v>0</v>
          </cell>
          <cell r="Z118" t="str">
            <v/>
          </cell>
          <cell r="AA118" t="str">
            <v/>
          </cell>
          <cell r="AB118" t="e">
            <v>#VALUE!</v>
          </cell>
          <cell r="AC118" t="str">
            <v>Не рассчитывалась</v>
          </cell>
          <cell r="AD118" t="str">
            <v>Не рассчитывалась</v>
          </cell>
          <cell r="AE118" t="str">
            <v>Не рассчитывалась</v>
          </cell>
          <cell r="AF118" t="e">
            <v>#VALUE!</v>
          </cell>
          <cell r="AG118">
            <v>0</v>
          </cell>
          <cell r="AH118" t="str">
            <v>будет использоваться</v>
          </cell>
          <cell r="AI118" t="str">
            <v>Уточнить состояние по фото</v>
          </cell>
          <cell r="AJ118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18">
            <v>2238586</v>
          </cell>
          <cell r="AM118" t="str">
            <v>По сроку службы</v>
          </cell>
        </row>
        <row r="119">
          <cell r="A119">
            <v>170</v>
          </cell>
          <cell r="B119">
            <v>577</v>
          </cell>
          <cell r="C119" t="str">
            <v>Авто-дорога с гравийным покрытием ул.Театральная</v>
          </cell>
          <cell r="D119">
            <v>33587</v>
          </cell>
          <cell r="E119">
            <v>33587</v>
          </cell>
          <cell r="F119">
            <v>198944</v>
          </cell>
          <cell r="G119">
            <v>13.261762999999998</v>
          </cell>
          <cell r="H119">
            <v>2638348.1782719996</v>
          </cell>
          <cell r="I119">
            <v>24.06027397260274</v>
          </cell>
          <cell r="J119" t="str">
            <v>Гравий</v>
          </cell>
          <cell r="K119">
            <v>0</v>
          </cell>
          <cell r="L119">
            <v>10</v>
          </cell>
          <cell r="M119">
            <v>0.8</v>
          </cell>
          <cell r="N119">
            <v>0</v>
          </cell>
          <cell r="O119">
            <v>0</v>
          </cell>
          <cell r="P119">
            <v>0.8</v>
          </cell>
          <cell r="Q119">
            <v>0</v>
          </cell>
          <cell r="R119" t="e">
            <v>#DIV/0!</v>
          </cell>
          <cell r="S119">
            <v>0</v>
          </cell>
          <cell r="T119">
            <v>527670</v>
          </cell>
          <cell r="U119" t="e">
            <v>#DIV/0!</v>
          </cell>
          <cell r="V119" t="e">
            <v>#DIV/0!</v>
          </cell>
          <cell r="W119">
            <v>0</v>
          </cell>
          <cell r="X119">
            <v>0</v>
          </cell>
          <cell r="Y119">
            <v>0</v>
          </cell>
          <cell r="Z119" t="str">
            <v/>
          </cell>
          <cell r="AA119" t="str">
            <v/>
          </cell>
          <cell r="AB119" t="e">
            <v>#VALUE!</v>
          </cell>
          <cell r="AC119">
            <v>0</v>
          </cell>
          <cell r="AD119" t="str">
            <v>Не рассчитывалась</v>
          </cell>
          <cell r="AE119" t="str">
            <v>Не рассчитывалась</v>
          </cell>
          <cell r="AF119" t="e">
            <v>#VALUE!</v>
          </cell>
          <cell r="AG119">
            <v>0</v>
          </cell>
          <cell r="AH119" t="str">
            <v>не будет использоваться</v>
          </cell>
          <cell r="AI119" t="str">
            <v>Уточнить состояние по фото</v>
          </cell>
          <cell r="AL119">
            <v>0</v>
          </cell>
          <cell r="AM119" t="str">
            <v>Не рассчитывалась</v>
          </cell>
        </row>
        <row r="120">
          <cell r="A120">
            <v>171</v>
          </cell>
          <cell r="B120">
            <v>581</v>
          </cell>
          <cell r="C120" t="str">
            <v>Авто-дорога с гравийным покрытием ул.Толстого</v>
          </cell>
          <cell r="D120">
            <v>33953</v>
          </cell>
          <cell r="E120">
            <v>33953</v>
          </cell>
          <cell r="F120">
            <v>654500</v>
          </cell>
          <cell r="G120">
            <v>13.261762999999998</v>
          </cell>
          <cell r="H120">
            <v>8679823.8834999986</v>
          </cell>
          <cell r="I120">
            <v>23.057534246575344</v>
          </cell>
          <cell r="J120" t="str">
            <v>Гравий</v>
          </cell>
          <cell r="K120">
            <v>0</v>
          </cell>
          <cell r="L120">
            <v>10</v>
          </cell>
          <cell r="M120">
            <v>0.8</v>
          </cell>
          <cell r="N120">
            <v>0</v>
          </cell>
          <cell r="O120">
            <v>0</v>
          </cell>
          <cell r="P120">
            <v>0.8</v>
          </cell>
          <cell r="Q120">
            <v>0</v>
          </cell>
          <cell r="R120" t="e">
            <v>#DIV/0!</v>
          </cell>
          <cell r="S120" t="str">
            <v>Не соответствует</v>
          </cell>
          <cell r="T120">
            <v>1735965</v>
          </cell>
          <cell r="U120" t="e">
            <v>#DIV/0!</v>
          </cell>
          <cell r="V120" t="e">
            <v>#DIV/0!</v>
          </cell>
          <cell r="W120" t="str">
            <v>Соответствует</v>
          </cell>
          <cell r="X120">
            <v>0</v>
          </cell>
          <cell r="Y120">
            <v>0</v>
          </cell>
          <cell r="Z120" t="str">
            <v/>
          </cell>
          <cell r="AA120" t="str">
            <v/>
          </cell>
          <cell r="AB120" t="e">
            <v>#VALUE!</v>
          </cell>
          <cell r="AC120" t="str">
            <v>Не рассчитывалась</v>
          </cell>
          <cell r="AD120" t="str">
            <v>Не рассчитывалась</v>
          </cell>
          <cell r="AE120" t="str">
            <v>Не рассчитывалась</v>
          </cell>
          <cell r="AF120" t="e">
            <v>#VALUE!</v>
          </cell>
          <cell r="AG120">
            <v>0</v>
          </cell>
          <cell r="AH120" t="str">
            <v>будет использоваться</v>
          </cell>
          <cell r="AI120" t="str">
            <v>Уточнить состояние по фото</v>
          </cell>
          <cell r="AJ120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20">
            <v>1735965</v>
          </cell>
          <cell r="AM120" t="str">
            <v>По сроку службы</v>
          </cell>
        </row>
        <row r="121">
          <cell r="A121">
            <v>172</v>
          </cell>
          <cell r="B121">
            <v>560</v>
          </cell>
          <cell r="C121" t="str">
            <v>Авто-дорога с тверд, покрытием ул.Базарная</v>
          </cell>
          <cell r="D121">
            <v>33953</v>
          </cell>
          <cell r="E121">
            <v>33953</v>
          </cell>
          <cell r="F121">
            <v>150161</v>
          </cell>
          <cell r="G121">
            <v>13.261762999999998</v>
          </cell>
          <cell r="H121">
            <v>1991399.5938429998</v>
          </cell>
          <cell r="I121">
            <v>23.057534246575344</v>
          </cell>
          <cell r="J121" t="str">
            <v>Асфальт</v>
          </cell>
          <cell r="K121">
            <v>0</v>
          </cell>
          <cell r="L121">
            <v>17</v>
          </cell>
          <cell r="M121">
            <v>0.8</v>
          </cell>
          <cell r="N121">
            <v>0</v>
          </cell>
          <cell r="O121">
            <v>0</v>
          </cell>
          <cell r="P121">
            <v>0.8</v>
          </cell>
          <cell r="Q121">
            <v>0</v>
          </cell>
          <cell r="R121" t="e">
            <v>#DIV/0!</v>
          </cell>
          <cell r="S121">
            <v>0</v>
          </cell>
          <cell r="T121">
            <v>398280</v>
          </cell>
          <cell r="U121" t="e">
            <v>#DIV/0!</v>
          </cell>
          <cell r="V121" t="e">
            <v>#DIV/0!</v>
          </cell>
          <cell r="W121">
            <v>0</v>
          </cell>
          <cell r="X121">
            <v>0</v>
          </cell>
          <cell r="Y121">
            <v>0</v>
          </cell>
          <cell r="Z121" t="str">
            <v/>
          </cell>
          <cell r="AA121" t="str">
            <v/>
          </cell>
          <cell r="AB121" t="e">
            <v>#VALUE!</v>
          </cell>
          <cell r="AC121">
            <v>0</v>
          </cell>
          <cell r="AD121" t="str">
            <v>Не рассчитывалась</v>
          </cell>
          <cell r="AE121" t="str">
            <v>Не рассчитывалась</v>
          </cell>
          <cell r="AF121" t="e">
            <v>#VALUE!</v>
          </cell>
          <cell r="AG121">
            <v>0</v>
          </cell>
          <cell r="AH121" t="str">
            <v>не будет использоваться</v>
          </cell>
          <cell r="AI121" t="str">
            <v>Уточнить состояние по фото</v>
          </cell>
          <cell r="AL121">
            <v>0</v>
          </cell>
          <cell r="AM121" t="str">
            <v>Не рассчитывалась</v>
          </cell>
        </row>
        <row r="122">
          <cell r="A122">
            <v>173</v>
          </cell>
          <cell r="B122">
            <v>545</v>
          </cell>
          <cell r="C122" t="str">
            <v>Авто-дорога с тверд, покрытием ул.Комсомольская</v>
          </cell>
          <cell r="D122">
            <v>33587</v>
          </cell>
          <cell r="E122">
            <v>33587</v>
          </cell>
          <cell r="F122">
            <v>113620</v>
          </cell>
          <cell r="G122">
            <v>13.261762999999998</v>
          </cell>
          <cell r="H122">
            <v>1506801.5120599999</v>
          </cell>
          <cell r="I122">
            <v>24.06027397260274</v>
          </cell>
          <cell r="J122" t="str">
            <v>Асфальт</v>
          </cell>
          <cell r="K122">
            <v>0</v>
          </cell>
          <cell r="L122">
            <v>17</v>
          </cell>
          <cell r="M122">
            <v>0.8</v>
          </cell>
          <cell r="N122">
            <v>0</v>
          </cell>
          <cell r="O122">
            <v>0</v>
          </cell>
          <cell r="P122">
            <v>0.8</v>
          </cell>
          <cell r="Q122">
            <v>0</v>
          </cell>
          <cell r="R122" t="e">
            <v>#DIV/0!</v>
          </cell>
          <cell r="S122">
            <v>0</v>
          </cell>
          <cell r="T122">
            <v>301360</v>
          </cell>
          <cell r="U122" t="e">
            <v>#DIV/0!</v>
          </cell>
          <cell r="V122" t="e">
            <v>#DIV/0!</v>
          </cell>
          <cell r="W122">
            <v>0</v>
          </cell>
          <cell r="X122">
            <v>0</v>
          </cell>
          <cell r="Y122">
            <v>0</v>
          </cell>
          <cell r="Z122" t="str">
            <v/>
          </cell>
          <cell r="AA122" t="str">
            <v/>
          </cell>
          <cell r="AB122" t="e">
            <v>#VALUE!</v>
          </cell>
          <cell r="AC122">
            <v>0</v>
          </cell>
          <cell r="AD122" t="str">
            <v>Не рассчитывалась</v>
          </cell>
          <cell r="AE122" t="str">
            <v>Не рассчитывалась</v>
          </cell>
          <cell r="AF122" t="e">
            <v>#VALUE!</v>
          </cell>
          <cell r="AG122">
            <v>0</v>
          </cell>
          <cell r="AH122" t="str">
            <v>не будет использоваться</v>
          </cell>
          <cell r="AI122" t="str">
            <v>Уточнить состояние по фото</v>
          </cell>
          <cell r="AL122">
            <v>0</v>
          </cell>
          <cell r="AM122" t="str">
            <v>Не рассчитывалась</v>
          </cell>
        </row>
        <row r="123">
          <cell r="A123">
            <v>174</v>
          </cell>
          <cell r="B123">
            <v>561</v>
          </cell>
          <cell r="C123" t="str">
            <v>Авто-дорога с тверд, покрытием ул.Рыбинская</v>
          </cell>
          <cell r="D123">
            <v>32857</v>
          </cell>
          <cell r="E123">
            <v>32857</v>
          </cell>
          <cell r="F123">
            <v>150080</v>
          </cell>
          <cell r="G123">
            <v>13.261762999999998</v>
          </cell>
          <cell r="H123">
            <v>1990325.3910399997</v>
          </cell>
          <cell r="I123">
            <v>26.06027397260274</v>
          </cell>
          <cell r="J123" t="str">
            <v>Асфальт</v>
          </cell>
          <cell r="K123">
            <v>0</v>
          </cell>
          <cell r="L123">
            <v>17</v>
          </cell>
          <cell r="M123">
            <v>0.8</v>
          </cell>
          <cell r="N123">
            <v>0</v>
          </cell>
          <cell r="O123">
            <v>0</v>
          </cell>
          <cell r="P123">
            <v>0.8</v>
          </cell>
          <cell r="Q123">
            <v>0</v>
          </cell>
          <cell r="R123" t="e">
            <v>#DIV/0!</v>
          </cell>
          <cell r="S123">
            <v>0</v>
          </cell>
          <cell r="T123">
            <v>398065</v>
          </cell>
          <cell r="U123" t="e">
            <v>#DIV/0!</v>
          </cell>
          <cell r="V123" t="e">
            <v>#DIV/0!</v>
          </cell>
          <cell r="W123">
            <v>0</v>
          </cell>
          <cell r="X123">
            <v>0</v>
          </cell>
          <cell r="Y123">
            <v>0</v>
          </cell>
          <cell r="Z123" t="str">
            <v/>
          </cell>
          <cell r="AA123" t="str">
            <v/>
          </cell>
          <cell r="AB123" t="e">
            <v>#VALUE!</v>
          </cell>
          <cell r="AC123">
            <v>0</v>
          </cell>
          <cell r="AD123" t="str">
            <v>Не рассчитывалась</v>
          </cell>
          <cell r="AE123" t="str">
            <v>Не рассчитывалась</v>
          </cell>
          <cell r="AF123" t="e">
            <v>#VALUE!</v>
          </cell>
          <cell r="AG123">
            <v>0</v>
          </cell>
          <cell r="AH123" t="str">
            <v>не будет использоваться</v>
          </cell>
          <cell r="AI123" t="str">
            <v>Уточнить состояние по фото</v>
          </cell>
          <cell r="AL123">
            <v>0</v>
          </cell>
          <cell r="AM123" t="str">
            <v>Не рассчитывалась</v>
          </cell>
        </row>
        <row r="124">
          <cell r="A124">
            <v>175</v>
          </cell>
          <cell r="B124">
            <v>558</v>
          </cell>
          <cell r="C124" t="str">
            <v>Авто-дорога с тверд, покрытием ул.Черноморская</v>
          </cell>
          <cell r="D124">
            <v>33587</v>
          </cell>
          <cell r="E124">
            <v>33587</v>
          </cell>
          <cell r="F124">
            <v>73203</v>
          </cell>
          <cell r="G124">
            <v>13.261762999999998</v>
          </cell>
          <cell r="H124">
            <v>970800.83688899991</v>
          </cell>
          <cell r="I124">
            <v>24.06027397260274</v>
          </cell>
          <cell r="J124" t="str">
            <v>Асфальт</v>
          </cell>
          <cell r="K124">
            <v>0</v>
          </cell>
          <cell r="L124">
            <v>17</v>
          </cell>
          <cell r="M124">
            <v>0.8</v>
          </cell>
          <cell r="N124">
            <v>0</v>
          </cell>
          <cell r="O124">
            <v>0</v>
          </cell>
          <cell r="P124">
            <v>0.8</v>
          </cell>
          <cell r="Q124">
            <v>0</v>
          </cell>
          <cell r="R124" t="e">
            <v>#DIV/0!</v>
          </cell>
          <cell r="S124">
            <v>0</v>
          </cell>
          <cell r="T124">
            <v>194160</v>
          </cell>
          <cell r="U124" t="e">
            <v>#DIV/0!</v>
          </cell>
          <cell r="V124" t="e">
            <v>#DIV/0!</v>
          </cell>
          <cell r="W124">
            <v>0</v>
          </cell>
          <cell r="X124">
            <v>0</v>
          </cell>
          <cell r="Y124">
            <v>0</v>
          </cell>
          <cell r="Z124" t="str">
            <v/>
          </cell>
          <cell r="AA124" t="str">
            <v/>
          </cell>
          <cell r="AB124" t="e">
            <v>#VALUE!</v>
          </cell>
          <cell r="AC124">
            <v>0</v>
          </cell>
          <cell r="AD124" t="str">
            <v>Не рассчитывалась</v>
          </cell>
          <cell r="AE124" t="str">
            <v>Не рассчитывалась</v>
          </cell>
          <cell r="AF124" t="e">
            <v>#VALUE!</v>
          </cell>
          <cell r="AG124">
            <v>0</v>
          </cell>
          <cell r="AH124" t="str">
            <v>не будет использоваться</v>
          </cell>
          <cell r="AI124" t="str">
            <v>Уточнить состояние по фото</v>
          </cell>
          <cell r="AL124">
            <v>0</v>
          </cell>
          <cell r="AM124" t="str">
            <v>Не рассчитывалась</v>
          </cell>
        </row>
        <row r="125">
          <cell r="A125">
            <v>176</v>
          </cell>
          <cell r="B125">
            <v>559</v>
          </cell>
          <cell r="C125" t="str">
            <v>Авто-дорога с тверд, покрытием ул.Шевченко</v>
          </cell>
          <cell r="D125">
            <v>33587</v>
          </cell>
          <cell r="E125">
            <v>33587</v>
          </cell>
          <cell r="F125">
            <v>86342</v>
          </cell>
          <cell r="G125">
            <v>13.261762999999998</v>
          </cell>
          <cell r="H125">
            <v>1145047.1409459999</v>
          </cell>
          <cell r="I125">
            <v>24.06027397260274</v>
          </cell>
          <cell r="J125" t="str">
            <v>Асфальт</v>
          </cell>
          <cell r="K125">
            <v>0</v>
          </cell>
          <cell r="L125">
            <v>17</v>
          </cell>
          <cell r="M125">
            <v>0.8</v>
          </cell>
          <cell r="N125">
            <v>0</v>
          </cell>
          <cell r="O125">
            <v>0</v>
          </cell>
          <cell r="P125">
            <v>0.8</v>
          </cell>
          <cell r="Q125">
            <v>0</v>
          </cell>
          <cell r="R125" t="e">
            <v>#DIV/0!</v>
          </cell>
          <cell r="S125">
            <v>0</v>
          </cell>
          <cell r="T125">
            <v>229009</v>
          </cell>
          <cell r="U125" t="e">
            <v>#DIV/0!</v>
          </cell>
          <cell r="V125" t="e">
            <v>#DIV/0!</v>
          </cell>
          <cell r="W125">
            <v>0</v>
          </cell>
          <cell r="X125">
            <v>0</v>
          </cell>
          <cell r="Y125">
            <v>0</v>
          </cell>
          <cell r="Z125" t="str">
            <v/>
          </cell>
          <cell r="AA125" t="str">
            <v/>
          </cell>
          <cell r="AB125" t="e">
            <v>#VALUE!</v>
          </cell>
          <cell r="AC125">
            <v>0</v>
          </cell>
          <cell r="AD125" t="str">
            <v>Не рассчитывалась</v>
          </cell>
          <cell r="AE125" t="str">
            <v>Не рассчитывалась</v>
          </cell>
          <cell r="AF125" t="e">
            <v>#VALUE!</v>
          </cell>
          <cell r="AG125">
            <v>0</v>
          </cell>
          <cell r="AH125" t="str">
            <v>не будет использоваться</v>
          </cell>
          <cell r="AI125" t="str">
            <v>Уточнить состояние по фото</v>
          </cell>
          <cell r="AL125">
            <v>0</v>
          </cell>
          <cell r="AM125" t="str">
            <v>Не рассчитывалась</v>
          </cell>
        </row>
        <row r="126">
          <cell r="A126">
            <v>177</v>
          </cell>
          <cell r="B126">
            <v>568</v>
          </cell>
          <cell r="C126" t="str">
            <v>Авто-дорога с твердым покрытием</v>
          </cell>
          <cell r="D126">
            <v>32126</v>
          </cell>
          <cell r="E126">
            <v>32126</v>
          </cell>
          <cell r="F126">
            <v>46334</v>
          </cell>
          <cell r="G126">
            <v>13.261762999999998</v>
          </cell>
          <cell r="H126">
            <v>614470.52684199996</v>
          </cell>
          <cell r="I126">
            <v>28.063013698630137</v>
          </cell>
          <cell r="J126" t="str">
            <v>Асфальт</v>
          </cell>
          <cell r="K126">
            <v>0</v>
          </cell>
          <cell r="L126">
            <v>17</v>
          </cell>
          <cell r="M126">
            <v>0.8</v>
          </cell>
          <cell r="N126">
            <v>0</v>
          </cell>
          <cell r="O126">
            <v>0</v>
          </cell>
          <cell r="P126">
            <v>0.8</v>
          </cell>
          <cell r="Q126">
            <v>0</v>
          </cell>
          <cell r="R126" t="e">
            <v>#DIV/0!</v>
          </cell>
          <cell r="S126">
            <v>0</v>
          </cell>
          <cell r="T126">
            <v>122894</v>
          </cell>
          <cell r="U126" t="e">
            <v>#DIV/0!</v>
          </cell>
          <cell r="V126" t="e">
            <v>#DIV/0!</v>
          </cell>
          <cell r="W126">
            <v>0</v>
          </cell>
          <cell r="X126">
            <v>0</v>
          </cell>
          <cell r="Y126">
            <v>0</v>
          </cell>
          <cell r="Z126" t="str">
            <v/>
          </cell>
          <cell r="AA126" t="str">
            <v/>
          </cell>
          <cell r="AB126" t="e">
            <v>#VALUE!</v>
          </cell>
          <cell r="AC126">
            <v>0</v>
          </cell>
          <cell r="AD126" t="str">
            <v>Не рассчитывалась</v>
          </cell>
          <cell r="AE126" t="str">
            <v>Не рассчитывалась</v>
          </cell>
          <cell r="AF126" t="e">
            <v>#VALUE!</v>
          </cell>
          <cell r="AG126">
            <v>0</v>
          </cell>
          <cell r="AH126" t="str">
            <v>не будет использоваться</v>
          </cell>
          <cell r="AI126" t="str">
            <v>Уточнить состояние по фото</v>
          </cell>
          <cell r="AL126">
            <v>0</v>
          </cell>
          <cell r="AM126" t="str">
            <v>Не рассчитывалась</v>
          </cell>
        </row>
        <row r="127">
          <cell r="A127">
            <v>179</v>
          </cell>
          <cell r="B127">
            <v>571</v>
          </cell>
          <cell r="C127" t="str">
            <v>Авто-дорога с твердым покрытием к бр2(1)</v>
          </cell>
          <cell r="D127">
            <v>32492</v>
          </cell>
          <cell r="E127">
            <v>32492</v>
          </cell>
          <cell r="F127">
            <v>2502</v>
          </cell>
          <cell r="G127">
            <v>13.261762999999998</v>
          </cell>
          <cell r="H127">
            <v>33180.931025999998</v>
          </cell>
          <cell r="I127">
            <v>27.06027397260274</v>
          </cell>
          <cell r="J127" t="str">
            <v>Асфальт</v>
          </cell>
          <cell r="K127">
            <v>0</v>
          </cell>
          <cell r="L127">
            <v>17</v>
          </cell>
          <cell r="M127">
            <v>0.8</v>
          </cell>
          <cell r="N127">
            <v>0</v>
          </cell>
          <cell r="O127">
            <v>0</v>
          </cell>
          <cell r="P127">
            <v>0.8</v>
          </cell>
          <cell r="Q127">
            <v>0</v>
          </cell>
          <cell r="R127" t="e">
            <v>#DIV/0!</v>
          </cell>
          <cell r="S127">
            <v>0</v>
          </cell>
          <cell r="T127">
            <v>6636</v>
          </cell>
          <cell r="U127" t="e">
            <v>#DIV/0!</v>
          </cell>
          <cell r="V127" t="e">
            <v>#DIV/0!</v>
          </cell>
          <cell r="W127">
            <v>0</v>
          </cell>
          <cell r="X127">
            <v>0</v>
          </cell>
          <cell r="Y127">
            <v>0</v>
          </cell>
          <cell r="Z127" t="str">
            <v/>
          </cell>
          <cell r="AA127" t="str">
            <v/>
          </cell>
          <cell r="AB127" t="e">
            <v>#VALUE!</v>
          </cell>
          <cell r="AC127">
            <v>0</v>
          </cell>
          <cell r="AD127" t="str">
            <v>Не рассчитывалась</v>
          </cell>
          <cell r="AE127" t="str">
            <v>Не рассчитывалась</v>
          </cell>
          <cell r="AF127" t="e">
            <v>#VALUE!</v>
          </cell>
          <cell r="AG127">
            <v>0</v>
          </cell>
          <cell r="AH127" t="str">
            <v>не будет использоваться</v>
          </cell>
          <cell r="AI127" t="str">
            <v>Уточнить состояние по фото</v>
          </cell>
          <cell r="AL127">
            <v>0</v>
          </cell>
          <cell r="AM127" t="str">
            <v>Не рассчитывалась</v>
          </cell>
        </row>
        <row r="128">
          <cell r="A128">
            <v>180</v>
          </cell>
          <cell r="B128">
            <v>563</v>
          </cell>
          <cell r="C128" t="str">
            <v>Авто-дорога с твердым покрытием ул.Ленина</v>
          </cell>
          <cell r="D128">
            <v>33222</v>
          </cell>
          <cell r="E128">
            <v>33222</v>
          </cell>
          <cell r="F128">
            <v>71326</v>
          </cell>
          <cell r="G128">
            <v>13.261762999999998</v>
          </cell>
          <cell r="H128">
            <v>945908.5077379999</v>
          </cell>
          <cell r="I128">
            <v>25.06027397260274</v>
          </cell>
          <cell r="J128" t="str">
            <v>Асфальт</v>
          </cell>
          <cell r="K128">
            <v>0</v>
          </cell>
          <cell r="L128">
            <v>17</v>
          </cell>
          <cell r="M128">
            <v>0.8</v>
          </cell>
          <cell r="N128">
            <v>0</v>
          </cell>
          <cell r="O128">
            <v>0</v>
          </cell>
          <cell r="P128">
            <v>0.8</v>
          </cell>
          <cell r="Q128">
            <v>0</v>
          </cell>
          <cell r="R128" t="e">
            <v>#DIV/0!</v>
          </cell>
          <cell r="S128">
            <v>0</v>
          </cell>
          <cell r="T128">
            <v>189182</v>
          </cell>
          <cell r="U128" t="e">
            <v>#DIV/0!</v>
          </cell>
          <cell r="V128" t="e">
            <v>#DIV/0!</v>
          </cell>
          <cell r="W128">
            <v>0</v>
          </cell>
          <cell r="X128">
            <v>0</v>
          </cell>
          <cell r="Y128">
            <v>0</v>
          </cell>
          <cell r="Z128" t="str">
            <v/>
          </cell>
          <cell r="AA128" t="str">
            <v/>
          </cell>
          <cell r="AB128" t="e">
            <v>#VALUE!</v>
          </cell>
          <cell r="AC128">
            <v>0</v>
          </cell>
          <cell r="AD128" t="str">
            <v>Не рассчитывалась</v>
          </cell>
          <cell r="AE128" t="str">
            <v>Не рассчитывалась</v>
          </cell>
          <cell r="AF128" t="e">
            <v>#VALUE!</v>
          </cell>
          <cell r="AG128">
            <v>0</v>
          </cell>
          <cell r="AH128" t="str">
            <v>не будет использоваться</v>
          </cell>
          <cell r="AI128" t="str">
            <v>Уточнить состояние по фото</v>
          </cell>
          <cell r="AL128">
            <v>0</v>
          </cell>
          <cell r="AM128" t="str">
            <v>Не рассчитывалась</v>
          </cell>
        </row>
        <row r="129">
          <cell r="A129">
            <v>181</v>
          </cell>
          <cell r="B129">
            <v>566</v>
          </cell>
          <cell r="C129" t="str">
            <v>Авто-дорога с твердым покрытием ул.Набережная</v>
          </cell>
          <cell r="D129">
            <v>33587</v>
          </cell>
          <cell r="E129">
            <v>33587</v>
          </cell>
          <cell r="F129">
            <v>461745</v>
          </cell>
          <cell r="G129">
            <v>13.261762999999998</v>
          </cell>
          <cell r="H129">
            <v>6123552.7564349994</v>
          </cell>
          <cell r="I129">
            <v>24.06027397260274</v>
          </cell>
          <cell r="J129" t="str">
            <v>Асфальт</v>
          </cell>
          <cell r="K129">
            <v>0</v>
          </cell>
          <cell r="L129">
            <v>17</v>
          </cell>
          <cell r="M129">
            <v>0.8</v>
          </cell>
          <cell r="N129">
            <v>0</v>
          </cell>
          <cell r="O129">
            <v>0</v>
          </cell>
          <cell r="P129">
            <v>0.8</v>
          </cell>
          <cell r="Q129">
            <v>0</v>
          </cell>
          <cell r="R129" t="e">
            <v>#DIV/0!</v>
          </cell>
          <cell r="S129" t="str">
            <v>Не соответствует</v>
          </cell>
          <cell r="T129">
            <v>1224711</v>
          </cell>
          <cell r="U129" t="e">
            <v>#DIV/0!</v>
          </cell>
          <cell r="V129" t="e">
            <v>#DIV/0!</v>
          </cell>
          <cell r="W129" t="str">
            <v>Соответствует</v>
          </cell>
          <cell r="X129">
            <v>0</v>
          </cell>
          <cell r="Y129">
            <v>0</v>
          </cell>
          <cell r="Z129" t="str">
            <v/>
          </cell>
          <cell r="AA129" t="str">
            <v/>
          </cell>
          <cell r="AB129" t="e">
            <v>#VALUE!</v>
          </cell>
          <cell r="AC129" t="str">
            <v>Не рассчитывалась</v>
          </cell>
          <cell r="AD129" t="str">
            <v>Не рассчитывалась</v>
          </cell>
          <cell r="AE129" t="str">
            <v>Не рассчитывалась</v>
          </cell>
          <cell r="AF129" t="e">
            <v>#VALUE!</v>
          </cell>
          <cell r="AG129">
            <v>0</v>
          </cell>
          <cell r="AH129" t="str">
            <v>будет использоваться</v>
          </cell>
          <cell r="AI129" t="str">
            <v>Уточнить состояние по фото</v>
          </cell>
          <cell r="AJ129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29">
            <v>1224711</v>
          </cell>
          <cell r="AM129" t="str">
            <v>По сроку службы</v>
          </cell>
        </row>
        <row r="130">
          <cell r="A130">
            <v>182</v>
          </cell>
          <cell r="B130">
            <v>567</v>
          </cell>
          <cell r="C130" t="str">
            <v>Авто-дорога с твердым покрытием ул.Октябрьская</v>
          </cell>
          <cell r="D130">
            <v>27743</v>
          </cell>
          <cell r="E130">
            <v>27743</v>
          </cell>
          <cell r="F130">
            <v>1721223</v>
          </cell>
          <cell r="G130">
            <v>13.261762999999998</v>
          </cell>
          <cell r="H130">
            <v>22826451.496148996</v>
          </cell>
          <cell r="I130">
            <v>40.07123287671233</v>
          </cell>
          <cell r="J130" t="str">
            <v>Асфальт</v>
          </cell>
          <cell r="K130">
            <v>0</v>
          </cell>
          <cell r="L130">
            <v>17</v>
          </cell>
          <cell r="M130">
            <v>0.8</v>
          </cell>
          <cell r="N130">
            <v>0</v>
          </cell>
          <cell r="O130">
            <v>0</v>
          </cell>
          <cell r="P130">
            <v>0.8</v>
          </cell>
          <cell r="Q130">
            <v>0</v>
          </cell>
          <cell r="R130" t="e">
            <v>#DIV/0!</v>
          </cell>
          <cell r="S130" t="str">
            <v>Не соответствует</v>
          </cell>
          <cell r="T130">
            <v>4565290</v>
          </cell>
          <cell r="U130" t="e">
            <v>#DIV/0!</v>
          </cell>
          <cell r="V130" t="e">
            <v>#DIV/0!</v>
          </cell>
          <cell r="W130" t="str">
            <v>Соответствует</v>
          </cell>
          <cell r="X130">
            <v>0</v>
          </cell>
          <cell r="Y130">
            <v>0</v>
          </cell>
          <cell r="Z130" t="str">
            <v/>
          </cell>
          <cell r="AA130" t="str">
            <v/>
          </cell>
          <cell r="AB130" t="e">
            <v>#VALUE!</v>
          </cell>
          <cell r="AC130" t="str">
            <v>Не рассчитывалась</v>
          </cell>
          <cell r="AD130" t="str">
            <v>Не рассчитывалась</v>
          </cell>
          <cell r="AE130" t="str">
            <v>Не рассчитывалась</v>
          </cell>
          <cell r="AF130" t="e">
            <v>#VALUE!</v>
          </cell>
          <cell r="AG130">
            <v>0</v>
          </cell>
          <cell r="AH130" t="str">
            <v>будет использоваться</v>
          </cell>
          <cell r="AI130" t="str">
            <v>Уточнить состояние по фото</v>
          </cell>
          <cell r="AJ130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30">
            <v>4565290</v>
          </cell>
          <cell r="AM130" t="str">
            <v>По сроку службы</v>
          </cell>
        </row>
        <row r="131">
          <cell r="A131">
            <v>183</v>
          </cell>
          <cell r="B131">
            <v>564</v>
          </cell>
          <cell r="C131" t="str">
            <v>Авто-дорога с твердым покрытием ул.Первомайская</v>
          </cell>
          <cell r="D131">
            <v>33587</v>
          </cell>
          <cell r="E131">
            <v>33587</v>
          </cell>
          <cell r="F131">
            <v>175188</v>
          </cell>
          <cell r="G131">
            <v>13.261762999999998</v>
          </cell>
          <cell r="H131">
            <v>2323301.7364439997</v>
          </cell>
          <cell r="I131">
            <v>24.06027397260274</v>
          </cell>
          <cell r="J131" t="str">
            <v>Асфальт</v>
          </cell>
          <cell r="K131">
            <v>0</v>
          </cell>
          <cell r="L131">
            <v>17</v>
          </cell>
          <cell r="M131">
            <v>0.8</v>
          </cell>
          <cell r="N131">
            <v>0</v>
          </cell>
          <cell r="O131">
            <v>0</v>
          </cell>
          <cell r="P131">
            <v>0.8</v>
          </cell>
          <cell r="Q131">
            <v>0</v>
          </cell>
          <cell r="R131" t="e">
            <v>#DIV/0!</v>
          </cell>
          <cell r="S131">
            <v>0</v>
          </cell>
          <cell r="T131">
            <v>464660</v>
          </cell>
          <cell r="U131" t="e">
            <v>#DIV/0!</v>
          </cell>
          <cell r="V131" t="e">
            <v>#DIV/0!</v>
          </cell>
          <cell r="W131">
            <v>0</v>
          </cell>
          <cell r="X131">
            <v>0</v>
          </cell>
          <cell r="Y131">
            <v>0</v>
          </cell>
          <cell r="Z131" t="str">
            <v/>
          </cell>
          <cell r="AA131" t="str">
            <v/>
          </cell>
          <cell r="AB131" t="e">
            <v>#VALUE!</v>
          </cell>
          <cell r="AC131">
            <v>0</v>
          </cell>
          <cell r="AD131" t="str">
            <v>Не рассчитывалась</v>
          </cell>
          <cell r="AE131" t="str">
            <v>Не рассчитывалась</v>
          </cell>
          <cell r="AF131" t="e">
            <v>#VALUE!</v>
          </cell>
          <cell r="AG131">
            <v>0</v>
          </cell>
          <cell r="AH131" t="str">
            <v>не будет использоваться</v>
          </cell>
          <cell r="AI131" t="str">
            <v>Уточнить состояние по фото</v>
          </cell>
          <cell r="AL131">
            <v>0</v>
          </cell>
          <cell r="AM131" t="str">
            <v>Не рассчитывалась</v>
          </cell>
        </row>
        <row r="132">
          <cell r="A132">
            <v>184</v>
          </cell>
          <cell r="B132">
            <v>565</v>
          </cell>
          <cell r="C132" t="str">
            <v>Авто-дорога с твердым покрытием ул.Советская</v>
          </cell>
          <cell r="D132">
            <v>33587</v>
          </cell>
          <cell r="E132">
            <v>33587</v>
          </cell>
          <cell r="F132">
            <v>65695</v>
          </cell>
          <cell r="G132">
            <v>13.261762999999998</v>
          </cell>
          <cell r="H132">
            <v>871231.52028499986</v>
          </cell>
          <cell r="I132">
            <v>24.06027397260274</v>
          </cell>
          <cell r="J132" t="str">
            <v>Асфальт</v>
          </cell>
          <cell r="K132">
            <v>0</v>
          </cell>
          <cell r="L132">
            <v>17</v>
          </cell>
          <cell r="M132">
            <v>0.8</v>
          </cell>
          <cell r="N132">
            <v>0</v>
          </cell>
          <cell r="O132">
            <v>0</v>
          </cell>
          <cell r="P132">
            <v>0.8</v>
          </cell>
          <cell r="Q132">
            <v>0</v>
          </cell>
          <cell r="R132" t="e">
            <v>#DIV/0!</v>
          </cell>
          <cell r="S132">
            <v>0</v>
          </cell>
          <cell r="T132">
            <v>174246</v>
          </cell>
          <cell r="U132" t="e">
            <v>#DIV/0!</v>
          </cell>
          <cell r="V132" t="e">
            <v>#DIV/0!</v>
          </cell>
          <cell r="W132">
            <v>0</v>
          </cell>
          <cell r="X132">
            <v>0</v>
          </cell>
          <cell r="Y132">
            <v>0</v>
          </cell>
          <cell r="Z132" t="str">
            <v/>
          </cell>
          <cell r="AA132" t="str">
            <v/>
          </cell>
          <cell r="AB132" t="e">
            <v>#VALUE!</v>
          </cell>
          <cell r="AC132">
            <v>0</v>
          </cell>
          <cell r="AD132" t="str">
            <v>Не рассчитывалась</v>
          </cell>
          <cell r="AE132" t="str">
            <v>Не рассчитывалась</v>
          </cell>
          <cell r="AF132" t="e">
            <v>#VALUE!</v>
          </cell>
          <cell r="AG132">
            <v>0</v>
          </cell>
          <cell r="AH132" t="str">
            <v>не будет использоваться</v>
          </cell>
          <cell r="AI132" t="str">
            <v>Уточнить состояние по фото</v>
          </cell>
          <cell r="AL132">
            <v>0</v>
          </cell>
          <cell r="AM132" t="str">
            <v>Не рассчитывалась</v>
          </cell>
        </row>
        <row r="133">
          <cell r="A133">
            <v>185</v>
          </cell>
          <cell r="B133">
            <v>2704</v>
          </cell>
          <cell r="C133" t="str">
            <v>Авто-дорога твердым покрытием ул.Красная</v>
          </cell>
          <cell r="D133">
            <v>33587</v>
          </cell>
          <cell r="E133">
            <v>33587</v>
          </cell>
          <cell r="F133">
            <v>168931</v>
          </cell>
          <cell r="G133">
            <v>13.261762999999998</v>
          </cell>
          <cell r="H133">
            <v>2240322.8853529999</v>
          </cell>
          <cell r="I133">
            <v>24.06027397260274</v>
          </cell>
          <cell r="J133" t="str">
            <v>Асфальт</v>
          </cell>
          <cell r="K133">
            <v>0</v>
          </cell>
          <cell r="L133">
            <v>17</v>
          </cell>
          <cell r="M133">
            <v>0.8</v>
          </cell>
          <cell r="N133">
            <v>0</v>
          </cell>
          <cell r="O133">
            <v>0</v>
          </cell>
          <cell r="P133">
            <v>0.8</v>
          </cell>
          <cell r="Q133">
            <v>126698.2</v>
          </cell>
          <cell r="R133" t="e">
            <v>#DIV/0!</v>
          </cell>
          <cell r="S133">
            <v>0</v>
          </cell>
          <cell r="T133">
            <v>448065</v>
          </cell>
          <cell r="U133" t="e">
            <v>#DIV/0!</v>
          </cell>
          <cell r="V133">
            <v>3.5364748670462562</v>
          </cell>
          <cell r="W133">
            <v>0</v>
          </cell>
          <cell r="X133">
            <v>0</v>
          </cell>
          <cell r="Y133">
            <v>0</v>
          </cell>
          <cell r="Z133" t="str">
            <v/>
          </cell>
          <cell r="AA133" t="str">
            <v/>
          </cell>
          <cell r="AB133" t="e">
            <v>#VALUE!</v>
          </cell>
          <cell r="AC133">
            <v>0</v>
          </cell>
          <cell r="AD133" t="str">
            <v>Не рассчитывалась</v>
          </cell>
          <cell r="AE133" t="str">
            <v>Не рассчитывалась</v>
          </cell>
          <cell r="AF133" t="e">
            <v>#VALUE!</v>
          </cell>
          <cell r="AG133">
            <v>0</v>
          </cell>
          <cell r="AH133" t="str">
            <v>не будет использоваться</v>
          </cell>
          <cell r="AI133" t="str">
            <v>Уточнить состояние по фото</v>
          </cell>
          <cell r="AL133">
            <v>0</v>
          </cell>
          <cell r="AM133" t="str">
            <v>Не рассчитывалась</v>
          </cell>
        </row>
        <row r="134">
          <cell r="A134">
            <v>186</v>
          </cell>
          <cell r="B134">
            <v>506</v>
          </cell>
          <cell r="C134" t="str">
            <v>Артезианская скважина  № 4488 гл. 390м.(434) Литер I      Кад№ 23:11:0702000:826</v>
          </cell>
          <cell r="D134">
            <v>29570</v>
          </cell>
          <cell r="E134">
            <v>29570</v>
          </cell>
          <cell r="F134">
            <v>9000</v>
          </cell>
          <cell r="G134">
            <v>13.261762999999998</v>
          </cell>
          <cell r="H134">
            <v>119355.86699999998</v>
          </cell>
          <cell r="I134">
            <v>35.065753424657537</v>
          </cell>
          <cell r="J134" t="str">
            <v>стальная</v>
          </cell>
          <cell r="K134">
            <v>0</v>
          </cell>
          <cell r="L134">
            <v>15</v>
          </cell>
          <cell r="M134">
            <v>0.8</v>
          </cell>
          <cell r="N134">
            <v>0</v>
          </cell>
          <cell r="O134">
            <v>0</v>
          </cell>
          <cell r="P134">
            <v>0.8</v>
          </cell>
          <cell r="Q134">
            <v>0</v>
          </cell>
          <cell r="R134" t="e">
            <v>#VALUE!</v>
          </cell>
          <cell r="S134" t="str">
            <v>Не соответствует</v>
          </cell>
          <cell r="T134">
            <v>23871</v>
          </cell>
          <cell r="U134" t="e">
            <v>#VALUE!</v>
          </cell>
          <cell r="V134" t="e">
            <v>#DIV/0!</v>
          </cell>
          <cell r="W134" t="str">
            <v>Соответствует</v>
          </cell>
          <cell r="X134">
            <v>0</v>
          </cell>
          <cell r="Y134">
            <v>0</v>
          </cell>
          <cell r="Z134" t="str">
            <v/>
          </cell>
          <cell r="AA134" t="str">
            <v/>
          </cell>
          <cell r="AB134" t="e">
            <v>#VALUE!</v>
          </cell>
          <cell r="AC134" t="str">
            <v>Не рассчитывалась</v>
          </cell>
          <cell r="AD134" t="str">
            <v>Не рассчитывалась</v>
          </cell>
          <cell r="AE134" t="str">
            <v>Не рассчитывалась</v>
          </cell>
          <cell r="AF134" t="e">
            <v>#VALUE!</v>
          </cell>
          <cell r="AG134" t="str">
            <v>глубина: 390 м.</v>
          </cell>
          <cell r="AH134" t="str">
            <v>будет использоваться</v>
          </cell>
          <cell r="AI134">
            <v>0</v>
          </cell>
          <cell r="AJ134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34">
            <v>23871</v>
          </cell>
          <cell r="AM134" t="str">
            <v>По сроку службы</v>
          </cell>
        </row>
        <row r="135">
          <cell r="A135">
            <v>187</v>
          </cell>
          <cell r="B135">
            <v>513</v>
          </cell>
          <cell r="C135" t="str">
            <v>Артезианская скважина -№5751 Литер: V Кад№ 23:11:0702000:781</v>
          </cell>
          <cell r="D135">
            <v>32126</v>
          </cell>
          <cell r="E135">
            <v>32126</v>
          </cell>
          <cell r="F135">
            <v>13806</v>
          </cell>
          <cell r="G135">
            <v>13.261762999999998</v>
          </cell>
          <cell r="H135">
            <v>183091.89997799997</v>
          </cell>
          <cell r="I135">
            <v>28.063013698630137</v>
          </cell>
          <cell r="J135" t="str">
            <v>стальная</v>
          </cell>
          <cell r="K135">
            <v>0</v>
          </cell>
          <cell r="L135">
            <v>15</v>
          </cell>
          <cell r="M135">
            <v>0.8</v>
          </cell>
          <cell r="N135">
            <v>0</v>
          </cell>
          <cell r="O135">
            <v>0</v>
          </cell>
          <cell r="P135">
            <v>0.8</v>
          </cell>
          <cell r="Q135">
            <v>0</v>
          </cell>
          <cell r="R135" t="e">
            <v>#VALUE!</v>
          </cell>
          <cell r="S135" t="str">
            <v>Не соответствует</v>
          </cell>
          <cell r="T135">
            <v>36618</v>
          </cell>
          <cell r="U135" t="e">
            <v>#VALUE!</v>
          </cell>
          <cell r="V135" t="e">
            <v>#DIV/0!</v>
          </cell>
          <cell r="W135" t="str">
            <v>Соответствует</v>
          </cell>
          <cell r="X135">
            <v>0</v>
          </cell>
          <cell r="Y135">
            <v>0</v>
          </cell>
          <cell r="Z135" t="str">
            <v/>
          </cell>
          <cell r="AA135" t="str">
            <v/>
          </cell>
          <cell r="AB135" t="e">
            <v>#VALUE!</v>
          </cell>
          <cell r="AC135" t="str">
            <v>Не рассчитывалась</v>
          </cell>
          <cell r="AD135" t="str">
            <v>Не рассчитывалась</v>
          </cell>
          <cell r="AE135" t="str">
            <v>Не рассчитывалась</v>
          </cell>
          <cell r="AF135" t="e">
            <v>#VALUE!</v>
          </cell>
          <cell r="AG135" t="str">
            <v>Высота 386 м.</v>
          </cell>
          <cell r="AH135" t="str">
            <v>будет использоваться</v>
          </cell>
          <cell r="AI135">
            <v>0</v>
          </cell>
          <cell r="AJ135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35">
            <v>36618</v>
          </cell>
          <cell r="AM135" t="str">
            <v>По сроку службы</v>
          </cell>
        </row>
        <row r="136">
          <cell r="A136">
            <v>188</v>
          </cell>
          <cell r="B136">
            <v>514</v>
          </cell>
          <cell r="C136" t="str">
            <v>Артезианская скважина №4481 Гл.386м (Артскважина -25 м3/час) Кад№ 23:11:0702000:829</v>
          </cell>
          <cell r="D136">
            <v>27743</v>
          </cell>
          <cell r="E136">
            <v>27743</v>
          </cell>
          <cell r="F136">
            <v>4112</v>
          </cell>
          <cell r="G136">
            <v>13.261762999999998</v>
          </cell>
          <cell r="H136">
            <v>54532.369455999993</v>
          </cell>
          <cell r="I136">
            <v>40.07123287671233</v>
          </cell>
          <cell r="J136" t="str">
            <v>стальная</v>
          </cell>
          <cell r="K136">
            <v>0</v>
          </cell>
          <cell r="L136">
            <v>15</v>
          </cell>
          <cell r="M136">
            <v>0.8</v>
          </cell>
          <cell r="N136">
            <v>0</v>
          </cell>
          <cell r="O136">
            <v>0</v>
          </cell>
          <cell r="P136">
            <v>0.8</v>
          </cell>
          <cell r="Q136">
            <v>0</v>
          </cell>
          <cell r="R136" t="e">
            <v>#VALUE!</v>
          </cell>
          <cell r="S136" t="str">
            <v>Не соответствует</v>
          </cell>
          <cell r="T136">
            <v>10906</v>
          </cell>
          <cell r="U136" t="e">
            <v>#VALUE!</v>
          </cell>
          <cell r="V136" t="e">
            <v>#DIV/0!</v>
          </cell>
          <cell r="W136" t="str">
            <v>Соответствует</v>
          </cell>
          <cell r="X136">
            <v>0</v>
          </cell>
          <cell r="Y136">
            <v>0</v>
          </cell>
          <cell r="Z136" t="str">
            <v/>
          </cell>
          <cell r="AA136" t="str">
            <v/>
          </cell>
          <cell r="AB136" t="e">
            <v>#VALUE!</v>
          </cell>
          <cell r="AC136" t="str">
            <v>Не рассчитывалась</v>
          </cell>
          <cell r="AD136" t="str">
            <v>Не рассчитывалась</v>
          </cell>
          <cell r="AE136" t="str">
            <v>Не рассчитывалась</v>
          </cell>
          <cell r="AF136" t="e">
            <v>#VALUE!</v>
          </cell>
          <cell r="AG136" t="str">
            <v>глубина: 386 м</v>
          </cell>
          <cell r="AH136" t="str">
            <v>будет использоваться</v>
          </cell>
          <cell r="AI136">
            <v>0</v>
          </cell>
          <cell r="AJ136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36">
            <v>10906</v>
          </cell>
          <cell r="AM136" t="str">
            <v>По сроку службы</v>
          </cell>
        </row>
        <row r="137">
          <cell r="A137">
            <v>189</v>
          </cell>
          <cell r="B137">
            <v>510</v>
          </cell>
          <cell r="C137" t="str">
            <v>Артезианская скважина №5229 (Артскважина 60 м3/час (386)  Кад№  23:11:0702000:816</v>
          </cell>
          <cell r="D137">
            <v>28125</v>
          </cell>
          <cell r="E137">
            <v>28125</v>
          </cell>
          <cell r="F137">
            <v>49572</v>
          </cell>
          <cell r="G137">
            <v>13.261762999999998</v>
          </cell>
          <cell r="H137">
            <v>657412.11543599993</v>
          </cell>
          <cell r="I137">
            <v>39.024657534246572</v>
          </cell>
          <cell r="J137" t="str">
            <v>стальная</v>
          </cell>
          <cell r="K137">
            <v>0</v>
          </cell>
          <cell r="L137">
            <v>15</v>
          </cell>
          <cell r="M137">
            <v>0.8</v>
          </cell>
          <cell r="N137">
            <v>0</v>
          </cell>
          <cell r="O137">
            <v>0</v>
          </cell>
          <cell r="P137">
            <v>0.8</v>
          </cell>
          <cell r="Q137">
            <v>0</v>
          </cell>
          <cell r="R137" t="e">
            <v>#VALUE!</v>
          </cell>
          <cell r="S137" t="str">
            <v>Не соответствует</v>
          </cell>
          <cell r="T137">
            <v>131482</v>
          </cell>
          <cell r="U137" t="e">
            <v>#VALUE!</v>
          </cell>
          <cell r="V137" t="e">
            <v>#DIV/0!</v>
          </cell>
          <cell r="W137" t="str">
            <v>Соответствует</v>
          </cell>
          <cell r="X137">
            <v>0</v>
          </cell>
          <cell r="Y137">
            <v>0</v>
          </cell>
          <cell r="Z137" t="str">
            <v/>
          </cell>
          <cell r="AA137" t="str">
            <v/>
          </cell>
          <cell r="AB137" t="e">
            <v>#VALUE!</v>
          </cell>
          <cell r="AC137" t="str">
            <v>Не рассчитывалась</v>
          </cell>
          <cell r="AD137" t="str">
            <v>Не рассчитывалась</v>
          </cell>
          <cell r="AE137" t="str">
            <v>Не рассчитывалась</v>
          </cell>
          <cell r="AF137" t="e">
            <v>#VALUE!</v>
          </cell>
          <cell r="AG137" t="str">
            <v>глубина: 375 м.</v>
          </cell>
          <cell r="AH137" t="str">
            <v>будет использоваться</v>
          </cell>
          <cell r="AI137">
            <v>0</v>
          </cell>
          <cell r="AJ137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37">
            <v>131482</v>
          </cell>
          <cell r="AM137" t="str">
            <v>По сроку службы</v>
          </cell>
        </row>
        <row r="138">
          <cell r="A138">
            <v>190</v>
          </cell>
          <cell r="B138">
            <v>515</v>
          </cell>
          <cell r="C138" t="str">
            <v>Артезианская скважина №5268  (Артскважина (480)  Кад№ 23:11:0702000:818</v>
          </cell>
          <cell r="D138">
            <v>28109</v>
          </cell>
          <cell r="E138">
            <v>28109</v>
          </cell>
          <cell r="F138">
            <v>61932</v>
          </cell>
          <cell r="G138">
            <v>13.261762999999998</v>
          </cell>
          <cell r="H138">
            <v>821327.50611599989</v>
          </cell>
          <cell r="I138">
            <v>39.06849315068493</v>
          </cell>
          <cell r="J138" t="str">
            <v>стальная</v>
          </cell>
          <cell r="K138">
            <v>0</v>
          </cell>
          <cell r="L138">
            <v>15</v>
          </cell>
          <cell r="M138">
            <v>0.8</v>
          </cell>
          <cell r="N138">
            <v>0</v>
          </cell>
          <cell r="O138">
            <v>0</v>
          </cell>
          <cell r="P138">
            <v>0.8</v>
          </cell>
          <cell r="Q138">
            <v>0</v>
          </cell>
          <cell r="R138" t="e">
            <v>#VALUE!</v>
          </cell>
          <cell r="S138" t="str">
            <v>Не соответствует</v>
          </cell>
          <cell r="T138">
            <v>164266</v>
          </cell>
          <cell r="U138" t="e">
            <v>#VALUE!</v>
          </cell>
          <cell r="V138" t="e">
            <v>#DIV/0!</v>
          </cell>
          <cell r="W138" t="str">
            <v>Соответствует</v>
          </cell>
          <cell r="X138">
            <v>0</v>
          </cell>
          <cell r="Y138">
            <v>0</v>
          </cell>
          <cell r="Z138" t="str">
            <v/>
          </cell>
          <cell r="AA138" t="str">
            <v/>
          </cell>
          <cell r="AB138" t="e">
            <v>#VALUE!</v>
          </cell>
          <cell r="AC138" t="str">
            <v>Не рассчитывалась</v>
          </cell>
          <cell r="AD138" t="str">
            <v>Не рассчитывалась</v>
          </cell>
          <cell r="AE138" t="str">
            <v>Не рассчитывалась</v>
          </cell>
          <cell r="AF138" t="e">
            <v>#VALUE!</v>
          </cell>
          <cell r="AG138" t="str">
            <v>глубина: 375 м.</v>
          </cell>
          <cell r="AH138" t="str">
            <v>будет использоваться</v>
          </cell>
          <cell r="AI138">
            <v>0</v>
          </cell>
          <cell r="AJ138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38">
            <v>164266</v>
          </cell>
          <cell r="AM138" t="str">
            <v>По сроку службы</v>
          </cell>
        </row>
        <row r="139">
          <cell r="A139">
            <v>191</v>
          </cell>
          <cell r="B139">
            <v>508</v>
          </cell>
          <cell r="C139" t="str">
            <v>Артезианская скважина №7122 (Артскважина 328) Кад№ 23:11:0702000:817</v>
          </cell>
          <cell r="D139">
            <v>32492</v>
          </cell>
          <cell r="E139">
            <v>32492</v>
          </cell>
          <cell r="F139">
            <v>55656</v>
          </cell>
          <cell r="G139">
            <v>13.261762999999998</v>
          </cell>
          <cell r="H139">
            <v>738096.68152799993</v>
          </cell>
          <cell r="I139">
            <v>27.06027397260274</v>
          </cell>
          <cell r="J139" t="str">
            <v>стальная</v>
          </cell>
          <cell r="K139">
            <v>0</v>
          </cell>
          <cell r="L139">
            <v>15</v>
          </cell>
          <cell r="M139">
            <v>0.8</v>
          </cell>
          <cell r="N139">
            <v>0</v>
          </cell>
          <cell r="O139">
            <v>0</v>
          </cell>
          <cell r="P139">
            <v>0.8</v>
          </cell>
          <cell r="Q139">
            <v>0</v>
          </cell>
          <cell r="R139" t="e">
            <v>#VALUE!</v>
          </cell>
          <cell r="S139" t="str">
            <v>Не соответствует</v>
          </cell>
          <cell r="T139">
            <v>147619</v>
          </cell>
          <cell r="U139" t="e">
            <v>#VALUE!</v>
          </cell>
          <cell r="V139" t="e">
            <v>#DIV/0!</v>
          </cell>
          <cell r="W139" t="str">
            <v>Соответствует</v>
          </cell>
          <cell r="X139">
            <v>0</v>
          </cell>
          <cell r="Y139">
            <v>0</v>
          </cell>
          <cell r="Z139" t="str">
            <v/>
          </cell>
          <cell r="AA139" t="str">
            <v/>
          </cell>
          <cell r="AB139" t="e">
            <v>#VALUE!</v>
          </cell>
          <cell r="AC139" t="str">
            <v>Не рассчитывалась</v>
          </cell>
          <cell r="AD139" t="str">
            <v>Не рассчитывалась</v>
          </cell>
          <cell r="AE139" t="str">
            <v>Не рассчитывалась</v>
          </cell>
          <cell r="AF139" t="e">
            <v>#VALUE!</v>
          </cell>
          <cell r="AG139" t="str">
            <v>Глубина: 340 м</v>
          </cell>
          <cell r="AH139" t="str">
            <v>будет использоваться</v>
          </cell>
          <cell r="AI139">
            <v>0</v>
          </cell>
          <cell r="AJ139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39">
            <v>147619</v>
          </cell>
          <cell r="AM139" t="str">
            <v>По сроку службы</v>
          </cell>
        </row>
        <row r="140">
          <cell r="A140">
            <v>192</v>
          </cell>
          <cell r="B140" t="str">
            <v>Р00008424</v>
          </cell>
          <cell r="C140" t="str">
            <v>Артскважина (АТП)</v>
          </cell>
          <cell r="D140">
            <v>40513</v>
          </cell>
          <cell r="E140">
            <v>40513</v>
          </cell>
          <cell r="F140">
            <v>20889.59</v>
          </cell>
          <cell r="G140">
            <v>1.4577409162717219</v>
          </cell>
          <cell r="H140">
            <v>30451.610067140598</v>
          </cell>
          <cell r="I140">
            <v>5.0849315068493155</v>
          </cell>
          <cell r="J140" t="str">
            <v>стальная</v>
          </cell>
          <cell r="K140">
            <v>0</v>
          </cell>
          <cell r="L140">
            <v>15</v>
          </cell>
          <cell r="M140">
            <v>0.33899543378995439</v>
          </cell>
          <cell r="N140">
            <v>0</v>
          </cell>
          <cell r="O140">
            <v>0</v>
          </cell>
          <cell r="P140">
            <v>0.33899543378995434</v>
          </cell>
          <cell r="Q140">
            <v>0</v>
          </cell>
          <cell r="R140" t="e">
            <v>#VALUE!</v>
          </cell>
          <cell r="S140">
            <v>0</v>
          </cell>
          <cell r="T140">
            <v>20129</v>
          </cell>
          <cell r="U140" t="e">
            <v>#VALUE!</v>
          </cell>
          <cell r="V140" t="e">
            <v>#DIV/0!</v>
          </cell>
          <cell r="W140">
            <v>0</v>
          </cell>
          <cell r="X140">
            <v>0</v>
          </cell>
          <cell r="Y140">
            <v>0</v>
          </cell>
          <cell r="Z140" t="str">
            <v/>
          </cell>
          <cell r="AA140" t="str">
            <v/>
          </cell>
          <cell r="AB140" t="e">
            <v>#VALUE!</v>
          </cell>
          <cell r="AC140">
            <v>0</v>
          </cell>
          <cell r="AD140" t="str">
            <v>Не рассчитывалась</v>
          </cell>
          <cell r="AE140" t="str">
            <v>Не рассчитывалась</v>
          </cell>
          <cell r="AF140" t="e">
            <v>#VALUE!</v>
          </cell>
          <cell r="AG140" t="str">
            <v>Глубина 200 м.</v>
          </cell>
          <cell r="AH140" t="str">
            <v>не будет использоваться</v>
          </cell>
          <cell r="AI140">
            <v>0</v>
          </cell>
          <cell r="AL140">
            <v>0</v>
          </cell>
          <cell r="AM140" t="str">
            <v>Не рассчитывалась</v>
          </cell>
        </row>
        <row r="141">
          <cell r="A141">
            <v>193</v>
          </cell>
          <cell r="B141" t="str">
            <v>Р00008428</v>
          </cell>
          <cell r="C141" t="str">
            <v>Артскважина (АХК)</v>
          </cell>
          <cell r="D141">
            <v>40513</v>
          </cell>
          <cell r="E141">
            <v>40513</v>
          </cell>
          <cell r="F141">
            <v>10050.200000000001</v>
          </cell>
          <cell r="G141">
            <v>1.4577409162717219</v>
          </cell>
          <cell r="H141">
            <v>14650.58775671406</v>
          </cell>
          <cell r="I141">
            <v>5.0849315068493155</v>
          </cell>
          <cell r="J141" t="str">
            <v>стальная</v>
          </cell>
          <cell r="K141">
            <v>0</v>
          </cell>
          <cell r="L141">
            <v>15</v>
          </cell>
          <cell r="M141">
            <v>0.33899543378995439</v>
          </cell>
          <cell r="N141">
            <v>0</v>
          </cell>
          <cell r="O141">
            <v>0</v>
          </cell>
          <cell r="P141">
            <v>0.33899543378995434</v>
          </cell>
          <cell r="Q141">
            <v>0</v>
          </cell>
          <cell r="R141" t="e">
            <v>#VALUE!</v>
          </cell>
          <cell r="S141">
            <v>0</v>
          </cell>
          <cell r="T141">
            <v>9684</v>
          </cell>
          <cell r="U141" t="e">
            <v>#VALUE!</v>
          </cell>
          <cell r="V141" t="e">
            <v>#DIV/0!</v>
          </cell>
          <cell r="W141">
            <v>0</v>
          </cell>
          <cell r="X141">
            <v>0</v>
          </cell>
          <cell r="Y141">
            <v>0</v>
          </cell>
          <cell r="Z141" t="str">
            <v/>
          </cell>
          <cell r="AA141" t="str">
            <v/>
          </cell>
          <cell r="AB141" t="e">
            <v>#VALUE!</v>
          </cell>
          <cell r="AC141">
            <v>0</v>
          </cell>
          <cell r="AD141" t="str">
            <v>Не рассчитывалась</v>
          </cell>
          <cell r="AE141" t="str">
            <v>Не рассчитывалась</v>
          </cell>
          <cell r="AF141" t="e">
            <v>#VALUE!</v>
          </cell>
          <cell r="AG141" t="str">
            <v>Глубина 200 м.</v>
          </cell>
          <cell r="AH141" t="str">
            <v>не будет использоваться</v>
          </cell>
          <cell r="AI141">
            <v>0</v>
          </cell>
          <cell r="AL141">
            <v>0</v>
          </cell>
          <cell r="AM141" t="str">
            <v>Не рассчитывалась</v>
          </cell>
        </row>
        <row r="142">
          <cell r="A142">
            <v>194</v>
          </cell>
          <cell r="B142" t="str">
            <v>Р00008427</v>
          </cell>
          <cell r="C142" t="str">
            <v>Артскважина (бр-2)</v>
          </cell>
          <cell r="D142">
            <v>40513</v>
          </cell>
          <cell r="E142">
            <v>40513</v>
          </cell>
          <cell r="F142">
            <v>7361.91</v>
          </cell>
          <cell r="G142">
            <v>1.4577409162717219</v>
          </cell>
          <cell r="H142">
            <v>10731.757428909952</v>
          </cell>
          <cell r="I142">
            <v>5.0849315068493155</v>
          </cell>
          <cell r="J142" t="str">
            <v>стальная</v>
          </cell>
          <cell r="K142">
            <v>0</v>
          </cell>
          <cell r="L142">
            <v>15</v>
          </cell>
          <cell r="M142">
            <v>0.33899543378995439</v>
          </cell>
          <cell r="N142">
            <v>0</v>
          </cell>
          <cell r="O142">
            <v>0</v>
          </cell>
          <cell r="P142">
            <v>0.33899543378995434</v>
          </cell>
          <cell r="Q142">
            <v>0</v>
          </cell>
          <cell r="R142" t="e">
            <v>#VALUE!</v>
          </cell>
          <cell r="S142">
            <v>0</v>
          </cell>
          <cell r="T142">
            <v>7094</v>
          </cell>
          <cell r="U142" t="e">
            <v>#VALUE!</v>
          </cell>
          <cell r="V142" t="e">
            <v>#DIV/0!</v>
          </cell>
          <cell r="W142">
            <v>0</v>
          </cell>
          <cell r="X142">
            <v>0</v>
          </cell>
          <cell r="Y142">
            <v>0</v>
          </cell>
          <cell r="Z142" t="str">
            <v/>
          </cell>
          <cell r="AA142" t="str">
            <v/>
          </cell>
          <cell r="AB142" t="e">
            <v>#VALUE!</v>
          </cell>
          <cell r="AC142">
            <v>0</v>
          </cell>
          <cell r="AD142" t="str">
            <v>Не рассчитывалась</v>
          </cell>
          <cell r="AE142" t="str">
            <v>Не рассчитывалась</v>
          </cell>
          <cell r="AF142" t="e">
            <v>#VALUE!</v>
          </cell>
          <cell r="AG142" t="str">
            <v>Глубина 200 м.</v>
          </cell>
          <cell r="AH142" t="str">
            <v>не будет использоваться</v>
          </cell>
          <cell r="AI142">
            <v>0</v>
          </cell>
          <cell r="AL142">
            <v>0</v>
          </cell>
          <cell r="AM142" t="str">
            <v>Не рассчитывалась</v>
          </cell>
        </row>
        <row r="143">
          <cell r="A143">
            <v>195</v>
          </cell>
          <cell r="B143" t="str">
            <v>Р00008423</v>
          </cell>
          <cell r="C143" t="str">
            <v>Артскважина (мельница)</v>
          </cell>
          <cell r="D143">
            <v>40513</v>
          </cell>
          <cell r="E143">
            <v>40513</v>
          </cell>
          <cell r="F143">
            <v>7476.85</v>
          </cell>
          <cell r="G143">
            <v>1.4577409162717219</v>
          </cell>
          <cell r="H143">
            <v>10899.310169826224</v>
          </cell>
          <cell r="I143">
            <v>5.0849315068493155</v>
          </cell>
          <cell r="J143" t="str">
            <v>стальная</v>
          </cell>
          <cell r="K143">
            <v>0</v>
          </cell>
          <cell r="L143">
            <v>15</v>
          </cell>
          <cell r="M143">
            <v>0.33899543378995439</v>
          </cell>
          <cell r="N143">
            <v>0</v>
          </cell>
          <cell r="O143">
            <v>0</v>
          </cell>
          <cell r="P143">
            <v>0.33899543378995434</v>
          </cell>
          <cell r="Q143">
            <v>0</v>
          </cell>
          <cell r="R143" t="e">
            <v>#VALUE!</v>
          </cell>
          <cell r="S143">
            <v>0</v>
          </cell>
          <cell r="T143">
            <v>7204</v>
          </cell>
          <cell r="U143" t="e">
            <v>#VALUE!</v>
          </cell>
          <cell r="V143" t="e">
            <v>#DIV/0!</v>
          </cell>
          <cell r="W143">
            <v>0</v>
          </cell>
          <cell r="X143">
            <v>0</v>
          </cell>
          <cell r="Y143">
            <v>0</v>
          </cell>
          <cell r="Z143" t="str">
            <v/>
          </cell>
          <cell r="AA143" t="str">
            <v/>
          </cell>
          <cell r="AB143" t="e">
            <v>#VALUE!</v>
          </cell>
          <cell r="AC143">
            <v>0</v>
          </cell>
          <cell r="AD143" t="str">
            <v>Не рассчитывалась</v>
          </cell>
          <cell r="AE143" t="str">
            <v>Не рассчитывалась</v>
          </cell>
          <cell r="AF143" t="e">
            <v>#VALUE!</v>
          </cell>
          <cell r="AG143" t="str">
            <v>Глубина 200 м.</v>
          </cell>
          <cell r="AH143" t="str">
            <v>не будет использоваться</v>
          </cell>
          <cell r="AI143">
            <v>0</v>
          </cell>
          <cell r="AL143">
            <v>0</v>
          </cell>
          <cell r="AM143" t="str">
            <v>Не рассчитывалась</v>
          </cell>
        </row>
        <row r="144">
          <cell r="A144">
            <v>196</v>
          </cell>
          <cell r="B144" t="str">
            <v>Р00008635</v>
          </cell>
          <cell r="C144" t="str">
            <v>Артскважина (МТФ№5)</v>
          </cell>
          <cell r="D144">
            <v>40842</v>
          </cell>
          <cell r="E144">
            <v>40842</v>
          </cell>
          <cell r="F144">
            <v>17168.95</v>
          </cell>
          <cell r="G144">
            <v>1.4002276176024278</v>
          </cell>
          <cell r="H144">
            <v>24040.437955235204</v>
          </cell>
          <cell r="I144">
            <v>4.183561643835616</v>
          </cell>
          <cell r="J144" t="str">
            <v>стальная</v>
          </cell>
          <cell r="K144">
            <v>0</v>
          </cell>
          <cell r="L144">
            <v>15</v>
          </cell>
          <cell r="M144">
            <v>0.27890410958904105</v>
          </cell>
          <cell r="N144">
            <v>0</v>
          </cell>
          <cell r="O144">
            <v>0</v>
          </cell>
          <cell r="P144">
            <v>0.27890410958904099</v>
          </cell>
          <cell r="Q144">
            <v>0</v>
          </cell>
          <cell r="R144" t="e">
            <v>#VALUE!</v>
          </cell>
          <cell r="S144">
            <v>0</v>
          </cell>
          <cell r="T144">
            <v>17335</v>
          </cell>
          <cell r="U144" t="e">
            <v>#VALUE!</v>
          </cell>
          <cell r="V144" t="e">
            <v>#DIV/0!</v>
          </cell>
          <cell r="W144">
            <v>0</v>
          </cell>
          <cell r="X144">
            <v>0</v>
          </cell>
          <cell r="Y144">
            <v>0</v>
          </cell>
          <cell r="Z144" t="str">
            <v/>
          </cell>
          <cell r="AA144" t="str">
            <v/>
          </cell>
          <cell r="AB144" t="e">
            <v>#VALUE!</v>
          </cell>
          <cell r="AC144">
            <v>0</v>
          </cell>
          <cell r="AD144" t="str">
            <v>Не рассчитывалась</v>
          </cell>
          <cell r="AE144" t="str">
            <v>Не рассчитывалась</v>
          </cell>
          <cell r="AF144" t="e">
            <v>#VALUE!</v>
          </cell>
          <cell r="AG144" t="str">
            <v>Глубина 200 м.</v>
          </cell>
          <cell r="AH144" t="str">
            <v>не будет использоваться</v>
          </cell>
          <cell r="AI144">
            <v>0</v>
          </cell>
          <cell r="AL144">
            <v>0</v>
          </cell>
          <cell r="AM144" t="str">
            <v>Не рассчитывалась</v>
          </cell>
        </row>
        <row r="145">
          <cell r="A145">
            <v>197</v>
          </cell>
          <cell r="B145" t="str">
            <v>Р00008633</v>
          </cell>
          <cell r="C145" t="str">
            <v>Артскважина (хим.склад)</v>
          </cell>
          <cell r="D145">
            <v>40842</v>
          </cell>
          <cell r="E145">
            <v>40842</v>
          </cell>
          <cell r="F145">
            <v>8783.73</v>
          </cell>
          <cell r="G145">
            <v>1.4002276176024278</v>
          </cell>
          <cell r="H145">
            <v>12299.221331562972</v>
          </cell>
          <cell r="I145">
            <v>4.183561643835616</v>
          </cell>
          <cell r="J145" t="str">
            <v>стальная</v>
          </cell>
          <cell r="K145">
            <v>0</v>
          </cell>
          <cell r="L145">
            <v>15</v>
          </cell>
          <cell r="M145">
            <v>0.27890410958904105</v>
          </cell>
          <cell r="N145">
            <v>0</v>
          </cell>
          <cell r="O145">
            <v>0</v>
          </cell>
          <cell r="P145">
            <v>0.27890410958904099</v>
          </cell>
          <cell r="Q145">
            <v>0</v>
          </cell>
          <cell r="R145" t="e">
            <v>#VALUE!</v>
          </cell>
          <cell r="S145">
            <v>0</v>
          </cell>
          <cell r="T145">
            <v>8869</v>
          </cell>
          <cell r="U145" t="e">
            <v>#VALUE!</v>
          </cell>
          <cell r="V145" t="e">
            <v>#DIV/0!</v>
          </cell>
          <cell r="W145">
            <v>0</v>
          </cell>
          <cell r="X145">
            <v>0</v>
          </cell>
          <cell r="Y145">
            <v>0</v>
          </cell>
          <cell r="Z145" t="str">
            <v/>
          </cell>
          <cell r="AA145" t="str">
            <v/>
          </cell>
          <cell r="AB145" t="e">
            <v>#VALUE!</v>
          </cell>
          <cell r="AC145">
            <v>0</v>
          </cell>
          <cell r="AD145" t="str">
            <v>Не рассчитывалась</v>
          </cell>
          <cell r="AE145" t="str">
            <v>Не рассчитывалась</v>
          </cell>
          <cell r="AF145" t="e">
            <v>#VALUE!</v>
          </cell>
          <cell r="AG145" t="str">
            <v>Глубина 200 м.</v>
          </cell>
          <cell r="AH145" t="str">
            <v>не будет использоваться</v>
          </cell>
          <cell r="AI145">
            <v>0</v>
          </cell>
          <cell r="AL145">
            <v>0</v>
          </cell>
          <cell r="AM145" t="str">
            <v>Не рассчитывалась</v>
          </cell>
        </row>
        <row r="146">
          <cell r="A146">
            <v>198</v>
          </cell>
          <cell r="B146">
            <v>516</v>
          </cell>
          <cell r="C146" t="str">
            <v>Артскважина 16м3/час</v>
          </cell>
          <cell r="D146">
            <v>33222</v>
          </cell>
          <cell r="E146">
            <v>33222</v>
          </cell>
          <cell r="F146">
            <v>54157</v>
          </cell>
          <cell r="G146">
            <v>13.261762999999998</v>
          </cell>
          <cell r="H146">
            <v>718217.29879099992</v>
          </cell>
          <cell r="I146">
            <v>25.06027397260274</v>
          </cell>
          <cell r="J146" t="str">
            <v>стальная</v>
          </cell>
          <cell r="K146">
            <v>0</v>
          </cell>
          <cell r="L146">
            <v>15</v>
          </cell>
          <cell r="M146">
            <v>0.8</v>
          </cell>
          <cell r="N146">
            <v>0</v>
          </cell>
          <cell r="O146">
            <v>0</v>
          </cell>
          <cell r="P146">
            <v>0.8</v>
          </cell>
          <cell r="Q146">
            <v>0</v>
          </cell>
          <cell r="R146" t="e">
            <v>#VALUE!</v>
          </cell>
          <cell r="S146" t="str">
            <v>Не соответствует</v>
          </cell>
          <cell r="T146">
            <v>143643</v>
          </cell>
          <cell r="U146" t="e">
            <v>#VALUE!</v>
          </cell>
          <cell r="V146" t="e">
            <v>#DIV/0!</v>
          </cell>
          <cell r="W146" t="str">
            <v>Соответствует</v>
          </cell>
          <cell r="X146">
            <v>0</v>
          </cell>
          <cell r="Y146">
            <v>0</v>
          </cell>
          <cell r="Z146" t="str">
            <v/>
          </cell>
          <cell r="AA146" t="str">
            <v/>
          </cell>
          <cell r="AB146" t="e">
            <v>#VALUE!</v>
          </cell>
          <cell r="AC146" t="str">
            <v>Не рассчитывалась</v>
          </cell>
          <cell r="AD146" t="str">
            <v>Не рассчитывалась</v>
          </cell>
          <cell r="AE146" t="str">
            <v>Не рассчитывалась</v>
          </cell>
          <cell r="AF146" t="e">
            <v>#VALUE!</v>
          </cell>
          <cell r="AG146" t="str">
            <v>Глубина 200 м.</v>
          </cell>
          <cell r="AH146" t="str">
            <v>будет использоваться</v>
          </cell>
          <cell r="AI146">
            <v>0</v>
          </cell>
          <cell r="AJ146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46">
            <v>143643</v>
          </cell>
          <cell r="AM146" t="str">
            <v>По сроку службы</v>
          </cell>
        </row>
        <row r="147">
          <cell r="A147">
            <v>202</v>
          </cell>
          <cell r="B147" t="str">
            <v>Р00010138</v>
          </cell>
          <cell r="C147" t="str">
            <v>Артскважина №4 Н  - орошение (МТФ№5)   Кад№  23:11:0702000:874</v>
          </cell>
          <cell r="D147">
            <v>41633</v>
          </cell>
          <cell r="E147">
            <v>41633</v>
          </cell>
          <cell r="F147">
            <v>3610346.89</v>
          </cell>
          <cell r="G147">
            <v>1.0161046111493461</v>
          </cell>
          <cell r="H147">
            <v>3668490.1227777014</v>
          </cell>
          <cell r="I147">
            <v>2.0164383561643837</v>
          </cell>
          <cell r="J147" t="str">
            <v>стальная</v>
          </cell>
          <cell r="K147">
            <v>0</v>
          </cell>
          <cell r="L147">
            <v>15</v>
          </cell>
          <cell r="M147">
            <v>0.13442922374429225</v>
          </cell>
          <cell r="N147">
            <v>0</v>
          </cell>
          <cell r="O147">
            <v>0</v>
          </cell>
          <cell r="P147">
            <v>0.13442922374429223</v>
          </cell>
          <cell r="Q147">
            <v>2189882.6500000004</v>
          </cell>
          <cell r="R147" t="e">
            <v>#VALUE!</v>
          </cell>
          <cell r="S147" t="str">
            <v>Не соответствует</v>
          </cell>
          <cell r="T147">
            <v>3175338</v>
          </cell>
          <cell r="U147" t="e">
            <v>#VALUE!</v>
          </cell>
          <cell r="V147">
            <v>1.4500037250854512</v>
          </cell>
          <cell r="W147" t="str">
            <v>Соответствует</v>
          </cell>
          <cell r="X147">
            <v>0</v>
          </cell>
          <cell r="Y147">
            <v>0</v>
          </cell>
          <cell r="Z147" t="str">
            <v/>
          </cell>
          <cell r="AA147" t="str">
            <v/>
          </cell>
          <cell r="AB147" t="e">
            <v>#VALUE!</v>
          </cell>
          <cell r="AC147" t="str">
            <v>Не рассчитывалась</v>
          </cell>
          <cell r="AD147" t="str">
            <v>Не рассчитывалась</v>
          </cell>
          <cell r="AE147" t="str">
            <v>Не рассчитывалась</v>
          </cell>
          <cell r="AF147" t="e">
            <v>#VALUE!</v>
          </cell>
          <cell r="AG147" t="str">
            <v>Глубина 200 м.</v>
          </cell>
          <cell r="AH147">
            <v>0</v>
          </cell>
          <cell r="AI147">
            <v>0</v>
          </cell>
          <cell r="AJ147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147">
            <v>3175338</v>
          </cell>
          <cell r="AM147" t="str">
            <v>По сроку службы</v>
          </cell>
        </row>
        <row r="148">
          <cell r="A148">
            <v>203</v>
          </cell>
          <cell r="B148">
            <v>591</v>
          </cell>
          <cell r="C148" t="str">
            <v>Баз  для  скота (МТФ№5)</v>
          </cell>
          <cell r="D148">
            <v>29935</v>
          </cell>
          <cell r="E148">
            <v>29935</v>
          </cell>
          <cell r="F148">
            <v>513</v>
          </cell>
          <cell r="G148">
            <v>13.261762999999998</v>
          </cell>
          <cell r="H148">
            <v>6803.2844189999996</v>
          </cell>
          <cell r="I148">
            <v>34.065753424657537</v>
          </cell>
          <cell r="J148" t="str">
            <v>металл</v>
          </cell>
          <cell r="K148">
            <v>0</v>
          </cell>
          <cell r="L148">
            <v>35</v>
          </cell>
          <cell r="M148">
            <v>0.8</v>
          </cell>
          <cell r="N148">
            <v>0</v>
          </cell>
          <cell r="O148">
            <v>0</v>
          </cell>
          <cell r="P148">
            <v>0.8</v>
          </cell>
          <cell r="Q148">
            <v>0</v>
          </cell>
          <cell r="R148">
            <v>0</v>
          </cell>
          <cell r="S148">
            <v>0</v>
          </cell>
          <cell r="T148">
            <v>1361</v>
          </cell>
          <cell r="U148">
            <v>3.2404761904761905</v>
          </cell>
          <cell r="V148" t="e">
            <v>#DIV/0!</v>
          </cell>
          <cell r="W148">
            <v>0</v>
          </cell>
          <cell r="X148">
            <v>0</v>
          </cell>
          <cell r="Y148">
            <v>0</v>
          </cell>
          <cell r="Z148" t="str">
            <v/>
          </cell>
          <cell r="AA148" t="str">
            <v/>
          </cell>
          <cell r="AB148" t="e">
            <v>#VALUE!</v>
          </cell>
          <cell r="AC148">
            <v>0</v>
          </cell>
          <cell r="AD148" t="str">
            <v>Не рассчитывалась</v>
          </cell>
          <cell r="AE148" t="str">
            <v>Не рассчитывалась</v>
          </cell>
          <cell r="AF148" t="e">
            <v>#VALUE!</v>
          </cell>
          <cell r="AG148">
            <v>420</v>
          </cell>
          <cell r="AH148" t="str">
            <v>не будет использоваться</v>
          </cell>
          <cell r="AI148" t="str">
            <v>Уточнить состояние по фото</v>
          </cell>
          <cell r="AL148">
            <v>0</v>
          </cell>
          <cell r="AM148" t="str">
            <v>Не рассчитывалась</v>
          </cell>
        </row>
        <row r="149">
          <cell r="A149">
            <v>204</v>
          </cell>
          <cell r="B149">
            <v>2758</v>
          </cell>
          <cell r="C149" t="str">
            <v>Баз для скота    МТФ№4</v>
          </cell>
          <cell r="D149">
            <v>29570</v>
          </cell>
          <cell r="E149">
            <v>29570</v>
          </cell>
          <cell r="F149">
            <v>7962</v>
          </cell>
          <cell r="G149">
            <v>13.261762999999998</v>
          </cell>
          <cell r="H149">
            <v>105590.15700599999</v>
          </cell>
          <cell r="I149">
            <v>35.065753424657537</v>
          </cell>
          <cell r="J149" t="str">
            <v>металл</v>
          </cell>
          <cell r="K149">
            <v>0</v>
          </cell>
          <cell r="L149">
            <v>35</v>
          </cell>
          <cell r="M149">
            <v>0.8</v>
          </cell>
          <cell r="N149">
            <v>0</v>
          </cell>
          <cell r="O149">
            <v>0</v>
          </cell>
          <cell r="P149">
            <v>0.8</v>
          </cell>
          <cell r="Q149">
            <v>0</v>
          </cell>
          <cell r="R149">
            <v>0</v>
          </cell>
          <cell r="S149">
            <v>0</v>
          </cell>
          <cell r="T149">
            <v>21118</v>
          </cell>
          <cell r="U149">
            <v>65.993750000000006</v>
          </cell>
          <cell r="V149" t="e">
            <v>#DIV/0!</v>
          </cell>
          <cell r="W149">
            <v>0</v>
          </cell>
          <cell r="X149">
            <v>0</v>
          </cell>
          <cell r="Y149">
            <v>0</v>
          </cell>
          <cell r="Z149" t="str">
            <v/>
          </cell>
          <cell r="AA149" t="str">
            <v/>
          </cell>
          <cell r="AB149" t="e">
            <v>#VALUE!</v>
          </cell>
          <cell r="AC149">
            <v>0</v>
          </cell>
          <cell r="AD149" t="str">
            <v>Не рассчитывалась</v>
          </cell>
          <cell r="AE149" t="str">
            <v>Не рассчитывалась</v>
          </cell>
          <cell r="AF149" t="e">
            <v>#VALUE!</v>
          </cell>
          <cell r="AG149">
            <v>320</v>
          </cell>
          <cell r="AH149" t="str">
            <v>не будет использоваться</v>
          </cell>
          <cell r="AI149" t="str">
            <v>Уточнить состояние по фото</v>
          </cell>
          <cell r="AL149">
            <v>0</v>
          </cell>
          <cell r="AM149" t="str">
            <v>Не рассчитывалась</v>
          </cell>
        </row>
        <row r="150">
          <cell r="A150">
            <v>205</v>
          </cell>
          <cell r="B150">
            <v>507</v>
          </cell>
          <cell r="C150" t="str">
            <v>Башня Рожневского (128)  (СТФ)</v>
          </cell>
          <cell r="D150">
            <v>28839</v>
          </cell>
          <cell r="E150">
            <v>28839</v>
          </cell>
          <cell r="F150">
            <v>9000</v>
          </cell>
          <cell r="G150">
            <v>13.261762999999998</v>
          </cell>
          <cell r="H150">
            <v>119355.86699999998</v>
          </cell>
          <cell r="I150">
            <v>37.06849315068493</v>
          </cell>
          <cell r="J150" t="str">
            <v>Стальная</v>
          </cell>
          <cell r="K150">
            <v>0</v>
          </cell>
          <cell r="L150">
            <v>30</v>
          </cell>
          <cell r="M150">
            <v>0.8</v>
          </cell>
          <cell r="N150">
            <v>0</v>
          </cell>
          <cell r="O150">
            <v>0</v>
          </cell>
          <cell r="P150">
            <v>0.8</v>
          </cell>
          <cell r="Q150">
            <v>0</v>
          </cell>
          <cell r="R150" t="e">
            <v>#DIV/0!</v>
          </cell>
          <cell r="S150" t="str">
            <v>Не соответствует</v>
          </cell>
          <cell r="T150">
            <v>23871</v>
          </cell>
          <cell r="U150" t="e">
            <v>#DIV/0!</v>
          </cell>
          <cell r="V150" t="e">
            <v>#DIV/0!</v>
          </cell>
          <cell r="W150" t="str">
            <v>Соответствует</v>
          </cell>
          <cell r="X150">
            <v>0</v>
          </cell>
          <cell r="Y150">
            <v>0</v>
          </cell>
          <cell r="Z150" t="str">
            <v/>
          </cell>
          <cell r="AA150" t="str">
            <v/>
          </cell>
          <cell r="AB150" t="e">
            <v>#VALUE!</v>
          </cell>
          <cell r="AC150" t="str">
            <v>Не рассчитывалась</v>
          </cell>
          <cell r="AD150" t="str">
            <v>Не рассчитывалась</v>
          </cell>
          <cell r="AE150" t="str">
            <v>Не рассчитывалась</v>
          </cell>
          <cell r="AF150" t="e">
            <v>#VALUE!</v>
          </cell>
          <cell r="AG150">
            <v>0</v>
          </cell>
          <cell r="AH150" t="str">
            <v>будет использоваться</v>
          </cell>
          <cell r="AI150">
            <v>0</v>
          </cell>
          <cell r="AJ150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50">
            <v>23871</v>
          </cell>
          <cell r="AM150" t="str">
            <v>По сроку службы</v>
          </cell>
        </row>
        <row r="151">
          <cell r="A151">
            <v>206</v>
          </cell>
          <cell r="B151">
            <v>2711</v>
          </cell>
          <cell r="C151" t="str">
            <v xml:space="preserve">Башня Рожневского МТФ №4 </v>
          </cell>
          <cell r="D151">
            <v>32492</v>
          </cell>
          <cell r="E151">
            <v>32492</v>
          </cell>
          <cell r="F151">
            <v>9000</v>
          </cell>
          <cell r="G151">
            <v>13.261762999999998</v>
          </cell>
          <cell r="H151">
            <v>119355.86699999998</v>
          </cell>
          <cell r="I151">
            <v>27.06027397260274</v>
          </cell>
          <cell r="J151" t="str">
            <v>Стальная</v>
          </cell>
          <cell r="K151">
            <v>0</v>
          </cell>
          <cell r="L151">
            <v>30</v>
          </cell>
          <cell r="M151">
            <v>0.8</v>
          </cell>
          <cell r="N151">
            <v>0</v>
          </cell>
          <cell r="O151">
            <v>0</v>
          </cell>
          <cell r="P151">
            <v>0.8</v>
          </cell>
          <cell r="Q151">
            <v>0</v>
          </cell>
          <cell r="R151" t="e">
            <v>#DIV/0!</v>
          </cell>
          <cell r="S151" t="str">
            <v>Не соответствует</v>
          </cell>
          <cell r="T151">
            <v>23871</v>
          </cell>
          <cell r="U151" t="e">
            <v>#DIV/0!</v>
          </cell>
          <cell r="V151" t="e">
            <v>#DIV/0!</v>
          </cell>
          <cell r="W151" t="str">
            <v>Соответствует</v>
          </cell>
          <cell r="X151">
            <v>0</v>
          </cell>
          <cell r="Y151">
            <v>0</v>
          </cell>
          <cell r="Z151" t="str">
            <v/>
          </cell>
          <cell r="AA151" t="str">
            <v/>
          </cell>
          <cell r="AB151" t="e">
            <v>#VALUE!</v>
          </cell>
          <cell r="AC151" t="str">
            <v>Не рассчитывалась</v>
          </cell>
          <cell r="AD151" t="str">
            <v>Не рассчитывалась</v>
          </cell>
          <cell r="AE151" t="str">
            <v>Не рассчитывалась</v>
          </cell>
          <cell r="AF151" t="e">
            <v>#VALUE!</v>
          </cell>
          <cell r="AG151">
            <v>0</v>
          </cell>
          <cell r="AH151" t="str">
            <v>будет использоваться</v>
          </cell>
          <cell r="AI151">
            <v>0</v>
          </cell>
          <cell r="AJ151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51">
            <v>23871</v>
          </cell>
          <cell r="AM151" t="str">
            <v>По сроку службы</v>
          </cell>
        </row>
        <row r="152">
          <cell r="A152">
            <v>207</v>
          </cell>
          <cell r="B152">
            <v>504</v>
          </cell>
          <cell r="C152" t="str">
            <v>Башня Рожневского-БР 5(225)</v>
          </cell>
          <cell r="D152">
            <v>29570</v>
          </cell>
          <cell r="E152">
            <v>29570</v>
          </cell>
          <cell r="F152">
            <v>9000</v>
          </cell>
          <cell r="G152">
            <v>13.261762999999998</v>
          </cell>
          <cell r="H152">
            <v>119355.86699999998</v>
          </cell>
          <cell r="I152">
            <v>35.065753424657537</v>
          </cell>
          <cell r="J152" t="str">
            <v>Стальная</v>
          </cell>
          <cell r="K152">
            <v>0</v>
          </cell>
          <cell r="L152">
            <v>30</v>
          </cell>
          <cell r="M152">
            <v>0.8</v>
          </cell>
          <cell r="N152">
            <v>0</v>
          </cell>
          <cell r="O152">
            <v>0</v>
          </cell>
          <cell r="P152">
            <v>0.8</v>
          </cell>
          <cell r="Q152">
            <v>0</v>
          </cell>
          <cell r="R152" t="e">
            <v>#DIV/0!</v>
          </cell>
          <cell r="S152" t="str">
            <v>Не соответствует</v>
          </cell>
          <cell r="T152">
            <v>23871</v>
          </cell>
          <cell r="U152" t="e">
            <v>#DIV/0!</v>
          </cell>
          <cell r="V152" t="e">
            <v>#DIV/0!</v>
          </cell>
          <cell r="W152" t="str">
            <v>Соответствует</v>
          </cell>
          <cell r="X152">
            <v>0</v>
          </cell>
          <cell r="Y152">
            <v>0</v>
          </cell>
          <cell r="Z152" t="str">
            <v/>
          </cell>
          <cell r="AA152" t="str">
            <v/>
          </cell>
          <cell r="AB152" t="e">
            <v>#VALUE!</v>
          </cell>
          <cell r="AC152" t="str">
            <v>Не рассчитывалась</v>
          </cell>
          <cell r="AD152" t="str">
            <v>Не рассчитывалась</v>
          </cell>
          <cell r="AE152" t="str">
            <v>Не рассчитывалась</v>
          </cell>
          <cell r="AF152" t="e">
            <v>#VALUE!</v>
          </cell>
          <cell r="AG152">
            <v>0</v>
          </cell>
          <cell r="AH152" t="str">
            <v>будет использоваться</v>
          </cell>
          <cell r="AI152">
            <v>0</v>
          </cell>
          <cell r="AJ152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52">
            <v>23871</v>
          </cell>
          <cell r="AM152" t="str">
            <v>По сроку службы</v>
          </cell>
        </row>
        <row r="153">
          <cell r="A153">
            <v>208</v>
          </cell>
          <cell r="B153">
            <v>502</v>
          </cell>
          <cell r="C153" t="str">
            <v>Башня Рожневского(405)  (ПТФ)</v>
          </cell>
          <cell r="D153">
            <v>33969</v>
          </cell>
          <cell r="E153">
            <v>33969</v>
          </cell>
          <cell r="F153">
            <v>9000</v>
          </cell>
          <cell r="G153">
            <v>13.261762999999998</v>
          </cell>
          <cell r="H153">
            <v>119355.86699999998</v>
          </cell>
          <cell r="I153">
            <v>23.013698630136986</v>
          </cell>
          <cell r="J153" t="str">
            <v>Стальная</v>
          </cell>
          <cell r="K153">
            <v>0</v>
          </cell>
          <cell r="L153">
            <v>30</v>
          </cell>
          <cell r="M153">
            <v>0.76712328767123283</v>
          </cell>
          <cell r="N153">
            <v>0</v>
          </cell>
          <cell r="O153">
            <v>0</v>
          </cell>
          <cell r="P153">
            <v>0.76712328767123283</v>
          </cell>
          <cell r="Q153">
            <v>0</v>
          </cell>
          <cell r="R153" t="e">
            <v>#DIV/0!</v>
          </cell>
          <cell r="S153">
            <v>0</v>
          </cell>
          <cell r="T153">
            <v>27795</v>
          </cell>
          <cell r="U153" t="e">
            <v>#DIV/0!</v>
          </cell>
          <cell r="V153" t="e">
            <v>#DIV/0!</v>
          </cell>
          <cell r="W153">
            <v>0</v>
          </cell>
          <cell r="X153">
            <v>0</v>
          </cell>
          <cell r="Y153">
            <v>0</v>
          </cell>
          <cell r="Z153" t="str">
            <v/>
          </cell>
          <cell r="AA153" t="str">
            <v/>
          </cell>
          <cell r="AB153" t="e">
            <v>#VALUE!</v>
          </cell>
          <cell r="AC153">
            <v>0</v>
          </cell>
          <cell r="AD153" t="str">
            <v>Не рассчитывалась</v>
          </cell>
          <cell r="AE153" t="str">
            <v>Не рассчитывалась</v>
          </cell>
          <cell r="AF153" t="e">
            <v>#VALUE!</v>
          </cell>
          <cell r="AG153">
            <v>0</v>
          </cell>
          <cell r="AH153" t="str">
            <v>не будет использоваться</v>
          </cell>
          <cell r="AI153">
            <v>0</v>
          </cell>
          <cell r="AL153">
            <v>0</v>
          </cell>
          <cell r="AM153" t="str">
            <v>Не рассчитывалась</v>
          </cell>
        </row>
        <row r="154">
          <cell r="A154">
            <v>209</v>
          </cell>
          <cell r="B154" t="str">
            <v>Р00008458</v>
          </cell>
          <cell r="C154" t="str">
            <v>Благоустройство  бр№5 общ.пл. 810 кв.м. Литер :VI  Кад.№ 23:11:0702000:771</v>
          </cell>
          <cell r="D154">
            <v>40599</v>
          </cell>
          <cell r="E154">
            <v>40599</v>
          </cell>
          <cell r="F154">
            <v>521000</v>
          </cell>
          <cell r="G154">
            <v>1.4002276176024278</v>
          </cell>
          <cell r="H154">
            <v>729518.58877086488</v>
          </cell>
          <cell r="I154">
            <v>4.8493150684931505</v>
          </cell>
          <cell r="J154" t="str">
            <v>бетонное</v>
          </cell>
          <cell r="K154">
            <v>0</v>
          </cell>
          <cell r="L154">
            <v>20</v>
          </cell>
          <cell r="M154">
            <v>0.24246575342465754</v>
          </cell>
          <cell r="N154">
            <v>0</v>
          </cell>
          <cell r="O154">
            <v>0</v>
          </cell>
          <cell r="P154">
            <v>0.24246575342465748</v>
          </cell>
          <cell r="Q154">
            <v>354049.9</v>
          </cell>
          <cell r="R154">
            <v>437.09864197530868</v>
          </cell>
          <cell r="S154" t="str">
            <v>Не соответствует</v>
          </cell>
          <cell r="T154">
            <v>552635</v>
          </cell>
          <cell r="U154">
            <v>682.26543209876547</v>
          </cell>
          <cell r="V154">
            <v>1.5608957946323385</v>
          </cell>
          <cell r="W154" t="str">
            <v>Соответствует</v>
          </cell>
          <cell r="X154">
            <v>0</v>
          </cell>
          <cell r="Y154">
            <v>0</v>
          </cell>
          <cell r="Z154" t="str">
            <v/>
          </cell>
          <cell r="AA154" t="str">
            <v/>
          </cell>
          <cell r="AB154" t="e">
            <v>#VALUE!</v>
          </cell>
          <cell r="AC154" t="str">
            <v>Не рассчитывалась</v>
          </cell>
          <cell r="AD154">
            <v>951997</v>
          </cell>
          <cell r="AE154">
            <v>1175.3049382716049</v>
          </cell>
          <cell r="AF154">
            <v>2.6888780366835294</v>
          </cell>
          <cell r="AG154">
            <v>810</v>
          </cell>
          <cell r="AH154">
            <v>0</v>
          </cell>
          <cell r="AI154">
            <v>0</v>
          </cell>
          <cell r="AJ154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154">
            <v>552635</v>
          </cell>
          <cell r="AM154" t="str">
            <v>По сроку службы</v>
          </cell>
        </row>
        <row r="155">
          <cell r="A155">
            <v>211</v>
          </cell>
          <cell r="B155">
            <v>610</v>
          </cell>
          <cell r="C155" t="str">
            <v>Благоустройство (автопарк)</v>
          </cell>
          <cell r="D155">
            <v>33587</v>
          </cell>
          <cell r="E155">
            <v>33587</v>
          </cell>
          <cell r="F155">
            <v>273130</v>
          </cell>
          <cell r="G155">
            <v>13.261762999999998</v>
          </cell>
          <cell r="H155">
            <v>3622185.3281899998</v>
          </cell>
          <cell r="I155">
            <v>24.06027397260274</v>
          </cell>
          <cell r="J155" t="str">
            <v>асфальтобетон</v>
          </cell>
          <cell r="K155">
            <v>0</v>
          </cell>
          <cell r="L155">
            <v>20</v>
          </cell>
          <cell r="M155">
            <v>0.8</v>
          </cell>
          <cell r="N155">
            <v>0</v>
          </cell>
          <cell r="O155">
            <v>0</v>
          </cell>
          <cell r="P155">
            <v>0.8</v>
          </cell>
          <cell r="Q155">
            <v>0</v>
          </cell>
          <cell r="R155">
            <v>0</v>
          </cell>
          <cell r="S155">
            <v>0</v>
          </cell>
          <cell r="T155">
            <v>724437</v>
          </cell>
          <cell r="U155">
            <v>813.97415730337082</v>
          </cell>
          <cell r="V155" t="e">
            <v>#DIV/0!</v>
          </cell>
          <cell r="W155">
            <v>0</v>
          </cell>
          <cell r="X155">
            <v>0</v>
          </cell>
          <cell r="Y155">
            <v>0</v>
          </cell>
          <cell r="Z155" t="str">
            <v/>
          </cell>
          <cell r="AA155" t="str">
            <v/>
          </cell>
          <cell r="AB155" t="e">
            <v>#VALUE!</v>
          </cell>
          <cell r="AC155">
            <v>0</v>
          </cell>
          <cell r="AD155" t="str">
            <v>Не рассчитывалась</v>
          </cell>
          <cell r="AE155" t="str">
            <v>Не рассчитывалась</v>
          </cell>
          <cell r="AF155" t="e">
            <v>#VALUE!</v>
          </cell>
          <cell r="AG155">
            <v>890</v>
          </cell>
          <cell r="AH155" t="str">
            <v>не будет использоваться</v>
          </cell>
          <cell r="AI155">
            <v>0</v>
          </cell>
          <cell r="AL155">
            <v>0</v>
          </cell>
          <cell r="AM155" t="str">
            <v>Не рассчитывалась</v>
          </cell>
        </row>
        <row r="156">
          <cell r="A156">
            <v>212</v>
          </cell>
          <cell r="B156">
            <v>613</v>
          </cell>
          <cell r="C156" t="str">
            <v>Благоустройство (Бойня)</v>
          </cell>
          <cell r="D156">
            <v>33953</v>
          </cell>
          <cell r="E156">
            <v>33953</v>
          </cell>
          <cell r="F156">
            <v>4379</v>
          </cell>
          <cell r="G156">
            <v>13.261762999999998</v>
          </cell>
          <cell r="H156">
            <v>58073.260176999996</v>
          </cell>
          <cell r="I156">
            <v>23.057534246575344</v>
          </cell>
          <cell r="J156" t="str">
            <v>асфальтобетон</v>
          </cell>
          <cell r="K156">
            <v>0</v>
          </cell>
          <cell r="L156">
            <v>20</v>
          </cell>
          <cell r="M156">
            <v>0.8</v>
          </cell>
          <cell r="N156">
            <v>0</v>
          </cell>
          <cell r="O156">
            <v>0</v>
          </cell>
          <cell r="P156">
            <v>0.8</v>
          </cell>
          <cell r="Q156">
            <v>0</v>
          </cell>
          <cell r="R156">
            <v>0</v>
          </cell>
          <cell r="S156">
            <v>0</v>
          </cell>
          <cell r="T156">
            <v>11615</v>
          </cell>
          <cell r="U156">
            <v>92.92</v>
          </cell>
          <cell r="V156" t="e">
            <v>#DIV/0!</v>
          </cell>
          <cell r="W156">
            <v>0</v>
          </cell>
          <cell r="X156">
            <v>0</v>
          </cell>
          <cell r="Y156">
            <v>0</v>
          </cell>
          <cell r="Z156" t="str">
            <v/>
          </cell>
          <cell r="AA156" t="str">
            <v/>
          </cell>
          <cell r="AB156" t="e">
            <v>#VALUE!</v>
          </cell>
          <cell r="AC156">
            <v>0</v>
          </cell>
          <cell r="AD156" t="str">
            <v>Не рассчитывалась</v>
          </cell>
          <cell r="AE156" t="str">
            <v>Не рассчитывалась</v>
          </cell>
          <cell r="AF156" t="e">
            <v>#VALUE!</v>
          </cell>
          <cell r="AG156">
            <v>125</v>
          </cell>
          <cell r="AH156" t="str">
            <v>не будет использоваться</v>
          </cell>
          <cell r="AI156">
            <v>0</v>
          </cell>
          <cell r="AL156">
            <v>0</v>
          </cell>
          <cell r="AM156" t="str">
            <v>Не рассчитывалась</v>
          </cell>
        </row>
        <row r="157">
          <cell r="A157">
            <v>213</v>
          </cell>
          <cell r="B157">
            <v>611</v>
          </cell>
          <cell r="C157" t="str">
            <v>Благоустройство (бр №2)</v>
          </cell>
          <cell r="D157">
            <v>33587</v>
          </cell>
          <cell r="E157">
            <v>33587</v>
          </cell>
          <cell r="F157">
            <v>297700</v>
          </cell>
          <cell r="G157">
            <v>13.261762999999998</v>
          </cell>
          <cell r="H157">
            <v>3948026.8450999996</v>
          </cell>
          <cell r="I157">
            <v>24.06027397260274</v>
          </cell>
          <cell r="J157" t="str">
            <v>асфальтобетон</v>
          </cell>
          <cell r="K157">
            <v>0</v>
          </cell>
          <cell r="L157">
            <v>20</v>
          </cell>
          <cell r="M157">
            <v>0.8</v>
          </cell>
          <cell r="N157">
            <v>0</v>
          </cell>
          <cell r="O157">
            <v>0</v>
          </cell>
          <cell r="P157">
            <v>0.8</v>
          </cell>
          <cell r="Q157">
            <v>0</v>
          </cell>
          <cell r="R157">
            <v>0</v>
          </cell>
          <cell r="S157">
            <v>0</v>
          </cell>
          <cell r="T157">
            <v>789605</v>
          </cell>
          <cell r="U157">
            <v>9400.0595238095229</v>
          </cell>
          <cell r="V157" t="e">
            <v>#DIV/0!</v>
          </cell>
          <cell r="W157">
            <v>0</v>
          </cell>
          <cell r="X157">
            <v>0</v>
          </cell>
          <cell r="Y157">
            <v>0</v>
          </cell>
          <cell r="Z157" t="str">
            <v/>
          </cell>
          <cell r="AA157" t="str">
            <v/>
          </cell>
          <cell r="AB157" t="e">
            <v>#VALUE!</v>
          </cell>
          <cell r="AC157">
            <v>0</v>
          </cell>
          <cell r="AD157" t="str">
            <v>Не рассчитывалась</v>
          </cell>
          <cell r="AE157" t="str">
            <v>Не рассчитывалась</v>
          </cell>
          <cell r="AF157" t="e">
            <v>#VALUE!</v>
          </cell>
          <cell r="AG157">
            <v>84</v>
          </cell>
          <cell r="AH157" t="str">
            <v>не будет использоваться</v>
          </cell>
          <cell r="AI157" t="str">
            <v>Возможно ошибка в площади. Уточнить состояние.</v>
          </cell>
          <cell r="AL157">
            <v>0</v>
          </cell>
          <cell r="AM157" t="str">
            <v>Не рассчитывалась</v>
          </cell>
        </row>
        <row r="158">
          <cell r="A158">
            <v>214</v>
          </cell>
          <cell r="B158">
            <v>607</v>
          </cell>
          <cell r="C158" t="str">
            <v>Благоустройство (МТФ№4)</v>
          </cell>
          <cell r="D158">
            <v>31396</v>
          </cell>
          <cell r="E158">
            <v>31396</v>
          </cell>
          <cell r="F158">
            <v>147473.85</v>
          </cell>
          <cell r="G158">
            <v>13.261762999999998</v>
          </cell>
          <cell r="H158">
            <v>1955763.2473975499</v>
          </cell>
          <cell r="I158">
            <v>30.063013698630137</v>
          </cell>
          <cell r="J158" t="str">
            <v>асфальтобетон</v>
          </cell>
          <cell r="K158">
            <v>0</v>
          </cell>
          <cell r="L158">
            <v>20</v>
          </cell>
          <cell r="M158">
            <v>0.8</v>
          </cell>
          <cell r="N158">
            <v>0</v>
          </cell>
          <cell r="O158">
            <v>0</v>
          </cell>
          <cell r="P158">
            <v>0.8</v>
          </cell>
          <cell r="Q158">
            <v>70047.850000000006</v>
          </cell>
          <cell r="R158">
            <v>164.8184705882353</v>
          </cell>
          <cell r="S158">
            <v>0</v>
          </cell>
          <cell r="T158">
            <v>391153</v>
          </cell>
          <cell r="U158">
            <v>920.36</v>
          </cell>
          <cell r="V158">
            <v>5.5840828804881228</v>
          </cell>
          <cell r="W158">
            <v>0</v>
          </cell>
          <cell r="X158">
            <v>0</v>
          </cell>
          <cell r="Y158">
            <v>0</v>
          </cell>
          <cell r="Z158" t="str">
            <v/>
          </cell>
          <cell r="AA158" t="str">
            <v/>
          </cell>
          <cell r="AB158" t="e">
            <v>#VALUE!</v>
          </cell>
          <cell r="AC158">
            <v>0</v>
          </cell>
          <cell r="AD158" t="str">
            <v>Не рассчитывалась</v>
          </cell>
          <cell r="AE158" t="str">
            <v>Не рассчитывалась</v>
          </cell>
          <cell r="AF158" t="e">
            <v>#VALUE!</v>
          </cell>
          <cell r="AG158">
            <v>425</v>
          </cell>
          <cell r="AH158" t="str">
            <v>не будет использоваться</v>
          </cell>
          <cell r="AI158">
            <v>0</v>
          </cell>
          <cell r="AL158">
            <v>0</v>
          </cell>
          <cell r="AM158" t="str">
            <v>Не рассчитывалась</v>
          </cell>
        </row>
        <row r="159">
          <cell r="A159">
            <v>215</v>
          </cell>
          <cell r="B159">
            <v>609</v>
          </cell>
          <cell r="C159" t="str">
            <v>Благоустройство (стройбригада)</v>
          </cell>
          <cell r="D159">
            <v>33587</v>
          </cell>
          <cell r="E159">
            <v>33587</v>
          </cell>
          <cell r="F159">
            <v>44610</v>
          </cell>
          <cell r="G159">
            <v>13.261762999999998</v>
          </cell>
          <cell r="H159">
            <v>591607.24742999987</v>
          </cell>
          <cell r="I159">
            <v>24.06027397260274</v>
          </cell>
          <cell r="J159" t="str">
            <v>асфальтобетон</v>
          </cell>
          <cell r="K159">
            <v>0</v>
          </cell>
          <cell r="L159">
            <v>20</v>
          </cell>
          <cell r="M159">
            <v>0.8</v>
          </cell>
          <cell r="N159">
            <v>0</v>
          </cell>
          <cell r="O159">
            <v>0</v>
          </cell>
          <cell r="P159">
            <v>0.8</v>
          </cell>
          <cell r="Q159">
            <v>9254.8399999999965</v>
          </cell>
          <cell r="R159">
            <v>43.045767441860448</v>
          </cell>
          <cell r="S159">
            <v>0</v>
          </cell>
          <cell r="T159">
            <v>118321</v>
          </cell>
          <cell r="U159">
            <v>550.33023255813953</v>
          </cell>
          <cell r="V159">
            <v>12.784769914985029</v>
          </cell>
          <cell r="W159">
            <v>0</v>
          </cell>
          <cell r="X159">
            <v>0</v>
          </cell>
          <cell r="Y159">
            <v>0</v>
          </cell>
          <cell r="Z159" t="str">
            <v/>
          </cell>
          <cell r="AA159" t="str">
            <v/>
          </cell>
          <cell r="AB159" t="e">
            <v>#VALUE!</v>
          </cell>
          <cell r="AC159">
            <v>0</v>
          </cell>
          <cell r="AD159" t="str">
            <v>Не рассчитывалась</v>
          </cell>
          <cell r="AE159" t="str">
            <v>Не рассчитывалась</v>
          </cell>
          <cell r="AF159" t="e">
            <v>#VALUE!</v>
          </cell>
          <cell r="AG159">
            <v>215</v>
          </cell>
          <cell r="AH159" t="str">
            <v>не будет использоваться</v>
          </cell>
          <cell r="AI159">
            <v>0</v>
          </cell>
          <cell r="AL159">
            <v>0</v>
          </cell>
          <cell r="AM159" t="str">
            <v>Не рассчитывалась</v>
          </cell>
        </row>
        <row r="160">
          <cell r="A160">
            <v>216</v>
          </cell>
          <cell r="B160">
            <v>608</v>
          </cell>
          <cell r="C160" t="str">
            <v>Благоустройство (СТФ)</v>
          </cell>
          <cell r="D160">
            <v>29935</v>
          </cell>
          <cell r="E160">
            <v>29935</v>
          </cell>
          <cell r="F160">
            <v>320531</v>
          </cell>
          <cell r="G160">
            <v>13.261762999999998</v>
          </cell>
          <cell r="H160">
            <v>4250806.156152999</v>
          </cell>
          <cell r="I160">
            <v>34.065753424657537</v>
          </cell>
          <cell r="J160" t="str">
            <v>асфальтобетон</v>
          </cell>
          <cell r="K160">
            <v>0</v>
          </cell>
          <cell r="L160">
            <v>20</v>
          </cell>
          <cell r="M160">
            <v>0.8</v>
          </cell>
          <cell r="N160">
            <v>0</v>
          </cell>
          <cell r="O160">
            <v>0</v>
          </cell>
          <cell r="P160">
            <v>0.8</v>
          </cell>
          <cell r="Q160">
            <v>43538.650000000023</v>
          </cell>
          <cell r="R160">
            <v>50.626337209302349</v>
          </cell>
          <cell r="S160">
            <v>0</v>
          </cell>
          <cell r="T160">
            <v>850161</v>
          </cell>
          <cell r="U160">
            <v>988.55930232558137</v>
          </cell>
          <cell r="V160">
            <v>19.526581554549796</v>
          </cell>
          <cell r="W160">
            <v>0</v>
          </cell>
          <cell r="X160">
            <v>0</v>
          </cell>
          <cell r="Y160">
            <v>0</v>
          </cell>
          <cell r="Z160" t="str">
            <v/>
          </cell>
          <cell r="AA160" t="str">
            <v/>
          </cell>
          <cell r="AB160" t="e">
            <v>#VALUE!</v>
          </cell>
          <cell r="AC160">
            <v>0</v>
          </cell>
          <cell r="AD160" t="str">
            <v>Не рассчитывалась</v>
          </cell>
          <cell r="AE160" t="str">
            <v>Не рассчитывалась</v>
          </cell>
          <cell r="AF160" t="e">
            <v>#VALUE!</v>
          </cell>
          <cell r="AG160">
            <v>860</v>
          </cell>
          <cell r="AH160" t="str">
            <v>не будет использоваться</v>
          </cell>
          <cell r="AI160">
            <v>0</v>
          </cell>
          <cell r="AL160">
            <v>0</v>
          </cell>
          <cell r="AM160" t="str">
            <v>Не рассчитывалась</v>
          </cell>
        </row>
        <row r="161">
          <cell r="A161">
            <v>217</v>
          </cell>
          <cell r="B161">
            <v>612</v>
          </cell>
          <cell r="C161" t="str">
            <v>Благоустройство (центральный склад)</v>
          </cell>
          <cell r="D161">
            <v>33953</v>
          </cell>
          <cell r="E161">
            <v>33953</v>
          </cell>
          <cell r="F161">
            <v>20021</v>
          </cell>
          <cell r="G161">
            <v>13.261762999999998</v>
          </cell>
          <cell r="H161">
            <v>265513.75702299998</v>
          </cell>
          <cell r="I161">
            <v>23.057534246575344</v>
          </cell>
          <cell r="J161" t="str">
            <v>асфальтобетон</v>
          </cell>
          <cell r="K161">
            <v>0</v>
          </cell>
          <cell r="L161">
            <v>20</v>
          </cell>
          <cell r="M161">
            <v>0.8</v>
          </cell>
          <cell r="N161">
            <v>0</v>
          </cell>
          <cell r="O161">
            <v>0</v>
          </cell>
          <cell r="P161">
            <v>0.8</v>
          </cell>
          <cell r="Q161">
            <v>4204.5599999999995</v>
          </cell>
          <cell r="R161">
            <v>8.0701727447216882</v>
          </cell>
          <cell r="S161">
            <v>0</v>
          </cell>
          <cell r="T161">
            <v>53103</v>
          </cell>
          <cell r="U161">
            <v>101.92514395393474</v>
          </cell>
          <cell r="V161">
            <v>12.62985901021748</v>
          </cell>
          <cell r="W161">
            <v>0</v>
          </cell>
          <cell r="X161">
            <v>0</v>
          </cell>
          <cell r="Y161">
            <v>0</v>
          </cell>
          <cell r="Z161" t="str">
            <v/>
          </cell>
          <cell r="AA161" t="str">
            <v/>
          </cell>
          <cell r="AB161" t="e">
            <v>#VALUE!</v>
          </cell>
          <cell r="AC161">
            <v>0</v>
          </cell>
          <cell r="AD161" t="str">
            <v>Не рассчитывалась</v>
          </cell>
          <cell r="AE161" t="str">
            <v>Не рассчитывалась</v>
          </cell>
          <cell r="AF161" t="e">
            <v>#VALUE!</v>
          </cell>
          <cell r="AG161">
            <v>521</v>
          </cell>
          <cell r="AH161" t="str">
            <v>не будет использоваться</v>
          </cell>
          <cell r="AI161">
            <v>0</v>
          </cell>
          <cell r="AL161">
            <v>0</v>
          </cell>
          <cell r="AM161" t="str">
            <v>Не рассчитывалась</v>
          </cell>
        </row>
        <row r="162">
          <cell r="A162">
            <v>219</v>
          </cell>
          <cell r="B162" t="str">
            <v>Р00008457</v>
          </cell>
          <cell r="C162" t="str">
            <v>Благоустройство МТФ№5 Литер:I Об.пл. 810 кв.м. Кад№  23:11:0702000:774</v>
          </cell>
          <cell r="D162">
            <v>40599</v>
          </cell>
          <cell r="E162">
            <v>40599</v>
          </cell>
          <cell r="F162">
            <v>1500871</v>
          </cell>
          <cell r="G162">
            <v>1.4002276176024278</v>
          </cell>
          <cell r="H162">
            <v>2101561.0246585733</v>
          </cell>
          <cell r="I162">
            <v>4.8493150684931505</v>
          </cell>
          <cell r="J162" t="str">
            <v>асфальт</v>
          </cell>
          <cell r="K162">
            <v>0</v>
          </cell>
          <cell r="L162">
            <v>20</v>
          </cell>
          <cell r="M162">
            <v>0.24246575342465754</v>
          </cell>
          <cell r="N162">
            <v>0</v>
          </cell>
          <cell r="O162">
            <v>0</v>
          </cell>
          <cell r="P162">
            <v>0.24246575342465748</v>
          </cell>
          <cell r="Q162">
            <v>1019929.2</v>
          </cell>
          <cell r="R162">
            <v>1259.1718518518519</v>
          </cell>
          <cell r="S162" t="str">
            <v>Не соответствует</v>
          </cell>
          <cell r="T162">
            <v>1592004</v>
          </cell>
          <cell r="U162">
            <v>1965.437037037037</v>
          </cell>
          <cell r="V162">
            <v>1.5608965798802505</v>
          </cell>
          <cell r="W162" t="str">
            <v>Соответствует</v>
          </cell>
          <cell r="X162">
            <v>0</v>
          </cell>
          <cell r="Y162">
            <v>0</v>
          </cell>
          <cell r="Z162" t="str">
            <v/>
          </cell>
          <cell r="AA162" t="str">
            <v/>
          </cell>
          <cell r="AB162" t="e">
            <v>#VALUE!</v>
          </cell>
          <cell r="AC162" t="str">
            <v>Не рассчитывалась</v>
          </cell>
          <cell r="AD162">
            <v>568846</v>
          </cell>
          <cell r="AE162">
            <v>702.27901234567901</v>
          </cell>
          <cell r="AF162">
            <v>0.5577308699466591</v>
          </cell>
          <cell r="AG162">
            <v>810</v>
          </cell>
          <cell r="AH162">
            <v>0</v>
          </cell>
          <cell r="AI162">
            <v>0</v>
          </cell>
          <cell r="AJ162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162">
            <v>1592004</v>
          </cell>
          <cell r="AM162" t="str">
            <v>По сроку службы</v>
          </cell>
        </row>
        <row r="163">
          <cell r="A163">
            <v>221</v>
          </cell>
          <cell r="B163">
            <v>416</v>
          </cell>
          <cell r="C163" t="str">
            <v>Бойня для скота   143 СТФ</v>
          </cell>
          <cell r="D163">
            <v>27013</v>
          </cell>
          <cell r="E163">
            <v>27013</v>
          </cell>
          <cell r="F163">
            <v>103090</v>
          </cell>
          <cell r="G163">
            <v>13.261762999999998</v>
          </cell>
          <cell r="H163">
            <v>1367155.1476699999</v>
          </cell>
          <cell r="I163">
            <v>42.07123287671233</v>
          </cell>
          <cell r="J163" t="str">
            <v>Бетон</v>
          </cell>
          <cell r="K163">
            <v>0</v>
          </cell>
          <cell r="L163">
            <v>50</v>
          </cell>
          <cell r="M163">
            <v>0.8</v>
          </cell>
          <cell r="N163">
            <v>0</v>
          </cell>
          <cell r="O163">
            <v>0</v>
          </cell>
          <cell r="P163">
            <v>0.8</v>
          </cell>
          <cell r="Q163">
            <v>64431.360000000001</v>
          </cell>
          <cell r="R163">
            <v>255.68</v>
          </cell>
          <cell r="S163" t="str">
            <v>Не соответствует</v>
          </cell>
          <cell r="T163">
            <v>273431</v>
          </cell>
          <cell r="U163">
            <v>1085.0436507936508</v>
          </cell>
          <cell r="V163">
            <v>4.2437564564833021</v>
          </cell>
          <cell r="W163" t="str">
            <v>Соответствует</v>
          </cell>
          <cell r="X163">
            <v>0</v>
          </cell>
          <cell r="Y163">
            <v>0</v>
          </cell>
          <cell r="Z163" t="str">
            <v/>
          </cell>
          <cell r="AA163" t="str">
            <v/>
          </cell>
          <cell r="AB163" t="e">
            <v>#VALUE!</v>
          </cell>
          <cell r="AC163" t="str">
            <v>Не рассчитывалась</v>
          </cell>
          <cell r="AD163" t="str">
            <v>Не рассчитывалась</v>
          </cell>
          <cell r="AE163" t="str">
            <v>Не рассчитывалась</v>
          </cell>
          <cell r="AF163" t="e">
            <v>#VALUE!</v>
          </cell>
          <cell r="AG163">
            <v>252</v>
          </cell>
          <cell r="AH163" t="str">
            <v>будет использоваться</v>
          </cell>
          <cell r="AI163">
            <v>0</v>
          </cell>
          <cell r="AJ163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63">
            <v>273431</v>
          </cell>
          <cell r="AM163" t="str">
            <v>По сроку службы</v>
          </cell>
        </row>
        <row r="164">
          <cell r="A164">
            <v>222</v>
          </cell>
          <cell r="B164" t="str">
            <v>Р00009093</v>
          </cell>
          <cell r="C164" t="str">
            <v>Внутриплощадочные дороги в бр№5  (благоустройство у коровников №8,9)</v>
          </cell>
          <cell r="D164">
            <v>40908</v>
          </cell>
          <cell r="E164">
            <v>40908</v>
          </cell>
          <cell r="F164">
            <v>1381355.93</v>
          </cell>
          <cell r="G164">
            <v>1.4002276176024278</v>
          </cell>
          <cell r="H164">
            <v>1934212.7229248858</v>
          </cell>
          <cell r="I164">
            <v>4.0027397260273974</v>
          </cell>
          <cell r="J164" t="str">
            <v>асфальтобетон</v>
          </cell>
          <cell r="K164">
            <v>0</v>
          </cell>
          <cell r="L164">
            <v>17</v>
          </cell>
          <cell r="M164">
            <v>0.23545527800161162</v>
          </cell>
          <cell r="N164">
            <v>0</v>
          </cell>
          <cell r="O164">
            <v>0</v>
          </cell>
          <cell r="P164">
            <v>0.23545527800161159</v>
          </cell>
          <cell r="Q164">
            <v>1015029.5299999999</v>
          </cell>
          <cell r="R164">
            <v>1637.1444032258064</v>
          </cell>
          <cell r="S164" t="str">
            <v>Не соответствует</v>
          </cell>
          <cell r="T164">
            <v>1478792</v>
          </cell>
          <cell r="U164">
            <v>2385.1483870967741</v>
          </cell>
          <cell r="V164">
            <v>1.4568955447040048</v>
          </cell>
          <cell r="W164" t="str">
            <v>Соответствует</v>
          </cell>
          <cell r="X164">
            <v>0</v>
          </cell>
          <cell r="Y164">
            <v>0</v>
          </cell>
          <cell r="Z164" t="str">
            <v/>
          </cell>
          <cell r="AA164" t="str">
            <v/>
          </cell>
          <cell r="AB164" t="e">
            <v>#VALUE!</v>
          </cell>
          <cell r="AC164" t="str">
            <v>Не рассчитывалась</v>
          </cell>
          <cell r="AD164" t="str">
            <v>Не рассчитывалась</v>
          </cell>
          <cell r="AE164" t="str">
            <v>Не рассчитывалась</v>
          </cell>
          <cell r="AF164" t="e">
            <v>#VALUE!</v>
          </cell>
          <cell r="AG164">
            <v>620</v>
          </cell>
          <cell r="AH164">
            <v>0</v>
          </cell>
          <cell r="AI164">
            <v>0</v>
          </cell>
          <cell r="AJ164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164">
            <v>1478792</v>
          </cell>
          <cell r="AM164" t="str">
            <v>По сроку службы</v>
          </cell>
        </row>
        <row r="165">
          <cell r="A165">
            <v>224</v>
          </cell>
          <cell r="B165">
            <v>632</v>
          </cell>
          <cell r="C165" t="str">
            <v>Водопровод   479 (ПТФ)</v>
          </cell>
          <cell r="D165">
            <v>28474</v>
          </cell>
          <cell r="E165">
            <v>28474</v>
          </cell>
          <cell r="F165">
            <v>64790</v>
          </cell>
          <cell r="G165">
            <v>13.261762999999998</v>
          </cell>
          <cell r="H165">
            <v>859229.62476999988</v>
          </cell>
          <cell r="I165">
            <v>38.06849315068493</v>
          </cell>
          <cell r="J165" t="str">
            <v>труба железная</v>
          </cell>
          <cell r="K165">
            <v>0</v>
          </cell>
          <cell r="L165">
            <v>15</v>
          </cell>
          <cell r="M165">
            <v>0.8</v>
          </cell>
          <cell r="N165">
            <v>0</v>
          </cell>
          <cell r="O165">
            <v>0</v>
          </cell>
          <cell r="P165">
            <v>0.8</v>
          </cell>
          <cell r="Q165">
            <v>0</v>
          </cell>
          <cell r="R165" t="e">
            <v>#DIV/0!</v>
          </cell>
          <cell r="S165">
            <v>0</v>
          </cell>
          <cell r="T165">
            <v>171846</v>
          </cell>
          <cell r="U165" t="e">
            <v>#DIV/0!</v>
          </cell>
          <cell r="V165" t="e">
            <v>#DIV/0!</v>
          </cell>
          <cell r="W165">
            <v>0</v>
          </cell>
          <cell r="X165">
            <v>0</v>
          </cell>
          <cell r="Y165">
            <v>0</v>
          </cell>
          <cell r="Z165" t="str">
            <v/>
          </cell>
          <cell r="AA165" t="str">
            <v/>
          </cell>
          <cell r="AB165" t="e">
            <v>#VALUE!</v>
          </cell>
          <cell r="AC165">
            <v>0</v>
          </cell>
          <cell r="AD165" t="str">
            <v>Не рассчитывалась</v>
          </cell>
          <cell r="AE165" t="str">
            <v>Не рассчитывалась</v>
          </cell>
          <cell r="AF165" t="e">
            <v>#VALUE!</v>
          </cell>
          <cell r="AG165">
            <v>0</v>
          </cell>
          <cell r="AH165" t="str">
            <v>не будет использоваться</v>
          </cell>
          <cell r="AI165">
            <v>0</v>
          </cell>
          <cell r="AL165">
            <v>0</v>
          </cell>
          <cell r="AM165" t="str">
            <v>Не рассчитывалась</v>
          </cell>
        </row>
        <row r="166">
          <cell r="A166">
            <v>225</v>
          </cell>
          <cell r="B166" t="str">
            <v>Р00009090</v>
          </cell>
          <cell r="C166" t="str">
            <v>Воздушная эл.линия ВЛ 04 кВ МТФ №3</v>
          </cell>
          <cell r="D166">
            <v>40908</v>
          </cell>
          <cell r="E166">
            <v>40908</v>
          </cell>
          <cell r="F166">
            <v>1673253.69</v>
          </cell>
          <cell r="G166">
            <v>1.4002276176024278</v>
          </cell>
          <cell r="H166">
            <v>2342936.027993171</v>
          </cell>
          <cell r="I166">
            <v>4.0027397260273974</v>
          </cell>
          <cell r="J166" t="str">
            <v>столбы бетонные, провода</v>
          </cell>
          <cell r="K166">
            <v>0</v>
          </cell>
          <cell r="L166">
            <v>25</v>
          </cell>
          <cell r="M166">
            <v>0.1601095890410959</v>
          </cell>
          <cell r="N166">
            <v>0</v>
          </cell>
          <cell r="O166">
            <v>0</v>
          </cell>
          <cell r="P166">
            <v>0.16010958904109596</v>
          </cell>
          <cell r="Q166">
            <v>1450771.29</v>
          </cell>
          <cell r="R166" t="e">
            <v>#DIV/0!</v>
          </cell>
          <cell r="S166" t="str">
            <v>Не соответствует</v>
          </cell>
          <cell r="T166">
            <v>1967810</v>
          </cell>
          <cell r="U166" t="e">
            <v>#DIV/0!</v>
          </cell>
          <cell r="V166">
            <v>1.3563888488584579</v>
          </cell>
          <cell r="W166" t="str">
            <v>Соответствует</v>
          </cell>
          <cell r="X166">
            <v>0</v>
          </cell>
          <cell r="Y166">
            <v>0</v>
          </cell>
          <cell r="Z166" t="str">
            <v/>
          </cell>
          <cell r="AA166" t="str">
            <v/>
          </cell>
          <cell r="AB166" t="e">
            <v>#VALUE!</v>
          </cell>
          <cell r="AC166" t="str">
            <v>Не рассчитывалась</v>
          </cell>
          <cell r="AD166" t="str">
            <v>Не рассчитывалась</v>
          </cell>
          <cell r="AE166" t="str">
            <v>Не рассчитывалась</v>
          </cell>
          <cell r="AF166" t="e">
            <v>#VALUE!</v>
          </cell>
          <cell r="AG166">
            <v>0</v>
          </cell>
          <cell r="AH166">
            <v>0</v>
          </cell>
          <cell r="AI166">
            <v>0</v>
          </cell>
          <cell r="AJ166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166">
            <v>1967810</v>
          </cell>
          <cell r="AM166" t="str">
            <v>По сроку службы</v>
          </cell>
        </row>
        <row r="167">
          <cell r="A167">
            <v>226</v>
          </cell>
          <cell r="B167">
            <v>584</v>
          </cell>
          <cell r="C167" t="str">
            <v>Выгульная площадка для телят(190) МТФ№4</v>
          </cell>
          <cell r="D167">
            <v>29570</v>
          </cell>
          <cell r="E167">
            <v>29570</v>
          </cell>
          <cell r="F167">
            <v>99200</v>
          </cell>
          <cell r="G167">
            <v>13.261762999999998</v>
          </cell>
          <cell r="H167">
            <v>1315566.8895999999</v>
          </cell>
          <cell r="I167">
            <v>35.065753424657537</v>
          </cell>
          <cell r="J167" t="str">
            <v>Гравий</v>
          </cell>
          <cell r="K167">
            <v>0</v>
          </cell>
          <cell r="L167">
            <v>10</v>
          </cell>
          <cell r="M167">
            <v>0.8</v>
          </cell>
          <cell r="N167">
            <v>0</v>
          </cell>
          <cell r="O167">
            <v>0</v>
          </cell>
          <cell r="P167">
            <v>0.8</v>
          </cell>
          <cell r="Q167">
            <v>0</v>
          </cell>
          <cell r="R167">
            <v>0</v>
          </cell>
          <cell r="S167">
            <v>0</v>
          </cell>
          <cell r="T167">
            <v>263113</v>
          </cell>
          <cell r="U167">
            <v>1461.7388888888888</v>
          </cell>
          <cell r="V167" t="e">
            <v>#DIV/0!</v>
          </cell>
          <cell r="W167">
            <v>0</v>
          </cell>
          <cell r="X167">
            <v>0</v>
          </cell>
          <cell r="Y167">
            <v>0</v>
          </cell>
          <cell r="Z167" t="str">
            <v/>
          </cell>
          <cell r="AA167" t="str">
            <v/>
          </cell>
          <cell r="AB167" t="e">
            <v>#VALUE!</v>
          </cell>
          <cell r="AC167">
            <v>0</v>
          </cell>
          <cell r="AD167" t="str">
            <v>Не рассчитывалась</v>
          </cell>
          <cell r="AE167" t="str">
            <v>Не рассчитывалась</v>
          </cell>
          <cell r="AF167" t="e">
            <v>#VALUE!</v>
          </cell>
          <cell r="AG167">
            <v>180</v>
          </cell>
          <cell r="AH167" t="str">
            <v>не будет использоваться</v>
          </cell>
          <cell r="AI167">
            <v>0</v>
          </cell>
          <cell r="AL167">
            <v>0</v>
          </cell>
          <cell r="AM167" t="str">
            <v>Не рассчитывалась</v>
          </cell>
        </row>
        <row r="168">
          <cell r="A168">
            <v>227</v>
          </cell>
          <cell r="B168">
            <v>396</v>
          </cell>
          <cell r="C168" t="str">
            <v>Гараж  для легковых а/машин (422) АТП</v>
          </cell>
          <cell r="D168">
            <v>28474</v>
          </cell>
          <cell r="E168">
            <v>28474</v>
          </cell>
          <cell r="F168">
            <v>113790</v>
          </cell>
          <cell r="G168">
            <v>13.261762999999998</v>
          </cell>
          <cell r="H168">
            <v>1509056.0117699997</v>
          </cell>
          <cell r="I168">
            <v>38.06849315068493</v>
          </cell>
          <cell r="J168" t="str">
            <v>Камень</v>
          </cell>
          <cell r="K168">
            <v>0</v>
          </cell>
          <cell r="L168">
            <v>60</v>
          </cell>
          <cell r="M168">
            <v>0.63447488584474887</v>
          </cell>
          <cell r="N168">
            <v>0</v>
          </cell>
          <cell r="O168">
            <v>0</v>
          </cell>
          <cell r="P168">
            <v>0.63447488584474887</v>
          </cell>
          <cell r="Q168">
            <v>71119.08</v>
          </cell>
          <cell r="R168">
            <v>444.49425000000002</v>
          </cell>
          <cell r="S168">
            <v>0</v>
          </cell>
          <cell r="T168">
            <v>551598</v>
          </cell>
          <cell r="U168">
            <v>3447.4875000000002</v>
          </cell>
          <cell r="V168">
            <v>7.7559777207466682</v>
          </cell>
          <cell r="W168">
            <v>0</v>
          </cell>
          <cell r="X168">
            <v>0</v>
          </cell>
          <cell r="Y168">
            <v>0</v>
          </cell>
          <cell r="Z168" t="str">
            <v/>
          </cell>
          <cell r="AA168" t="str">
            <v/>
          </cell>
          <cell r="AB168" t="e">
            <v>#VALUE!</v>
          </cell>
          <cell r="AC168">
            <v>0</v>
          </cell>
          <cell r="AD168" t="str">
            <v>Не рассчитывалась</v>
          </cell>
          <cell r="AE168" t="str">
            <v>Не рассчитывалась</v>
          </cell>
          <cell r="AF168" t="e">
            <v>#VALUE!</v>
          </cell>
          <cell r="AG168">
            <v>160</v>
          </cell>
          <cell r="AH168" t="str">
            <v>не будет использоваться</v>
          </cell>
          <cell r="AI168">
            <v>0</v>
          </cell>
          <cell r="AL168">
            <v>0</v>
          </cell>
          <cell r="AM168" t="str">
            <v>Не рассчитывалась</v>
          </cell>
        </row>
        <row r="169">
          <cell r="A169">
            <v>228</v>
          </cell>
          <cell r="B169" t="str">
            <v>Ц00003209</v>
          </cell>
          <cell r="C169" t="str">
            <v>Дезбарьер  (НП МТФ№2)</v>
          </cell>
          <cell r="D169">
            <v>41913</v>
          </cell>
          <cell r="E169">
            <v>41913</v>
          </cell>
          <cell r="F169">
            <v>27576.77</v>
          </cell>
          <cell r="G169">
            <v>0.98663458968190321</v>
          </cell>
          <cell r="H169">
            <v>27208.195153702218</v>
          </cell>
          <cell r="I169">
            <v>1.2493150684931507</v>
          </cell>
          <cell r="J169" t="str">
            <v>бетон</v>
          </cell>
          <cell r="K169">
            <v>0</v>
          </cell>
          <cell r="L169">
            <v>45</v>
          </cell>
          <cell r="M169">
            <v>2.7762557077625569E-2</v>
          </cell>
          <cell r="N169">
            <v>0</v>
          </cell>
          <cell r="O169">
            <v>0</v>
          </cell>
          <cell r="P169">
            <v>2.7762557077625538E-2</v>
          </cell>
          <cell r="Q169">
            <v>23034.75</v>
          </cell>
          <cell r="R169">
            <v>767.82500000000005</v>
          </cell>
          <cell r="S169" t="str">
            <v>Не соответствует</v>
          </cell>
          <cell r="T169">
            <v>26453</v>
          </cell>
          <cell r="U169">
            <v>881.76666666666665</v>
          </cell>
          <cell r="V169">
            <v>1.1483953591855782</v>
          </cell>
          <cell r="W169" t="str">
            <v>Соответствует</v>
          </cell>
          <cell r="X169">
            <v>0</v>
          </cell>
          <cell r="Y169">
            <v>0</v>
          </cell>
          <cell r="Z169" t="str">
            <v/>
          </cell>
          <cell r="AA169" t="str">
            <v/>
          </cell>
          <cell r="AB169" t="e">
            <v>#VALUE!</v>
          </cell>
          <cell r="AC169" t="str">
            <v>Не рассчитывалась</v>
          </cell>
          <cell r="AD169" t="str">
            <v>Не рассчитывалась</v>
          </cell>
          <cell r="AE169" t="str">
            <v>Не рассчитывалась</v>
          </cell>
          <cell r="AF169" t="e">
            <v>#VALUE!</v>
          </cell>
          <cell r="AG169">
            <v>30</v>
          </cell>
          <cell r="AH169">
            <v>0</v>
          </cell>
          <cell r="AI169" t="str">
            <v>Уточнить состояние по фото</v>
          </cell>
          <cell r="AJ169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169">
            <v>26453</v>
          </cell>
          <cell r="AM169" t="str">
            <v>По сроку службы</v>
          </cell>
        </row>
        <row r="170">
          <cell r="A170">
            <v>229</v>
          </cell>
          <cell r="B170">
            <v>637</v>
          </cell>
          <cell r="C170" t="str">
            <v>Диз,станция АД - 60   451</v>
          </cell>
          <cell r="D170">
            <v>33587</v>
          </cell>
          <cell r="E170">
            <v>33587</v>
          </cell>
          <cell r="F170">
            <v>15175</v>
          </cell>
          <cell r="G170">
            <v>13.261762999999998</v>
          </cell>
          <cell r="H170">
            <v>201247.25352499998</v>
          </cell>
          <cell r="I170">
            <v>24.06027397260274</v>
          </cell>
          <cell r="J170" t="str">
            <v>металл</v>
          </cell>
          <cell r="K170">
            <v>0</v>
          </cell>
          <cell r="L170">
            <v>7</v>
          </cell>
          <cell r="M170">
            <v>0.8</v>
          </cell>
          <cell r="N170">
            <v>0</v>
          </cell>
          <cell r="O170">
            <v>0</v>
          </cell>
          <cell r="P170">
            <v>0.8</v>
          </cell>
          <cell r="Q170">
            <v>0</v>
          </cell>
          <cell r="R170">
            <v>0</v>
          </cell>
          <cell r="S170">
            <v>0</v>
          </cell>
          <cell r="T170">
            <v>40249</v>
          </cell>
          <cell r="U170">
            <v>2012.45</v>
          </cell>
          <cell r="V170" t="e">
            <v>#DIV/0!</v>
          </cell>
          <cell r="W170">
            <v>0</v>
          </cell>
          <cell r="X170">
            <v>0</v>
          </cell>
          <cell r="Y170">
            <v>0</v>
          </cell>
          <cell r="Z170" t="str">
            <v/>
          </cell>
          <cell r="AA170" t="str">
            <v/>
          </cell>
          <cell r="AB170" t="e">
            <v>#VALUE!</v>
          </cell>
          <cell r="AC170">
            <v>0</v>
          </cell>
          <cell r="AD170" t="str">
            <v>Не рассчитывалась</v>
          </cell>
          <cell r="AE170" t="str">
            <v>Не рассчитывалась</v>
          </cell>
          <cell r="AF170" t="e">
            <v>#VALUE!</v>
          </cell>
          <cell r="AG170">
            <v>20</v>
          </cell>
          <cell r="AH170" t="str">
            <v>не будет использоваться</v>
          </cell>
          <cell r="AI170">
            <v>0</v>
          </cell>
          <cell r="AL170">
            <v>0</v>
          </cell>
          <cell r="AM170" t="str">
            <v>Не рассчитывалась</v>
          </cell>
        </row>
        <row r="171">
          <cell r="A171">
            <v>230</v>
          </cell>
          <cell r="B171" t="str">
            <v>Ц00003197</v>
          </cell>
          <cell r="C171" t="str">
            <v>Дорога асфальт к МТФ№2 (НП МТФ№2)</v>
          </cell>
          <cell r="D171">
            <v>41913</v>
          </cell>
          <cell r="E171">
            <v>41913</v>
          </cell>
          <cell r="F171">
            <v>228419.44</v>
          </cell>
          <cell r="G171">
            <v>0.98663458968190321</v>
          </cell>
          <cell r="H171">
            <v>225366.52045977011</v>
          </cell>
          <cell r="I171">
            <v>1.2493150684931507</v>
          </cell>
          <cell r="J171" t="str">
            <v>асфальт</v>
          </cell>
          <cell r="K171">
            <v>0</v>
          </cell>
          <cell r="L171">
            <v>17</v>
          </cell>
          <cell r="M171">
            <v>7.3489121676067692E-2</v>
          </cell>
          <cell r="N171">
            <v>0</v>
          </cell>
          <cell r="O171">
            <v>0</v>
          </cell>
          <cell r="P171">
            <v>7.3489121676067692E-2</v>
          </cell>
          <cell r="Q171">
            <v>141990.44</v>
          </cell>
          <cell r="R171" t="e">
            <v>#DIV/0!</v>
          </cell>
          <cell r="S171" t="str">
            <v>Не соответствует</v>
          </cell>
          <cell r="T171">
            <v>208805</v>
          </cell>
          <cell r="U171" t="e">
            <v>#DIV/0!</v>
          </cell>
          <cell r="V171">
            <v>1.4705567501586727</v>
          </cell>
          <cell r="W171" t="str">
            <v>Соответствует</v>
          </cell>
          <cell r="X171">
            <v>0</v>
          </cell>
          <cell r="Y171">
            <v>0</v>
          </cell>
          <cell r="Z171" t="str">
            <v/>
          </cell>
          <cell r="AA171" t="str">
            <v/>
          </cell>
          <cell r="AB171" t="e">
            <v>#VALUE!</v>
          </cell>
          <cell r="AC171" t="str">
            <v>Не рассчитывалась</v>
          </cell>
          <cell r="AD171" t="str">
            <v>Не рассчитывалась</v>
          </cell>
          <cell r="AE171" t="str">
            <v>Не рассчитывалась</v>
          </cell>
          <cell r="AF171" t="e">
            <v>#VALUE!</v>
          </cell>
          <cell r="AG171">
            <v>0</v>
          </cell>
          <cell r="AH171">
            <v>0</v>
          </cell>
          <cell r="AI171">
            <v>0</v>
          </cell>
          <cell r="AJ171" t="str">
            <v>Фото и данные о площади/протяженности не предоставлены.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171">
            <v>208805</v>
          </cell>
          <cell r="AM171" t="str">
            <v>По сроку службы</v>
          </cell>
        </row>
        <row r="172">
          <cell r="A172">
            <v>231</v>
          </cell>
          <cell r="B172" t="str">
            <v>Р00005694</v>
          </cell>
          <cell r="C172" t="str">
            <v>Дорожка тротуарная 2888м ул. Октябрьская</v>
          </cell>
          <cell r="D172">
            <v>27378</v>
          </cell>
          <cell r="E172">
            <v>27378</v>
          </cell>
          <cell r="F172">
            <v>111196.82</v>
          </cell>
          <cell r="G172">
            <v>13.261762999999998</v>
          </cell>
          <cell r="H172">
            <v>1474665.8731936598</v>
          </cell>
          <cell r="I172">
            <v>41.07123287671233</v>
          </cell>
          <cell r="J172" t="str">
            <v>Тротуарная плитка</v>
          </cell>
          <cell r="K172">
            <v>0</v>
          </cell>
          <cell r="L172">
            <v>17</v>
          </cell>
          <cell r="M172">
            <v>0.8</v>
          </cell>
          <cell r="N172">
            <v>0</v>
          </cell>
          <cell r="O172">
            <v>0</v>
          </cell>
          <cell r="P172">
            <v>0.8</v>
          </cell>
          <cell r="Q172">
            <v>0</v>
          </cell>
          <cell r="R172" t="e">
            <v>#DIV/0!</v>
          </cell>
          <cell r="S172">
            <v>0</v>
          </cell>
          <cell r="T172">
            <v>294933</v>
          </cell>
          <cell r="U172" t="e">
            <v>#DIV/0!</v>
          </cell>
          <cell r="V172" t="e">
            <v>#DIV/0!</v>
          </cell>
          <cell r="W172">
            <v>0</v>
          </cell>
          <cell r="X172">
            <v>0</v>
          </cell>
          <cell r="Y172">
            <v>0</v>
          </cell>
          <cell r="Z172" t="str">
            <v/>
          </cell>
          <cell r="AA172" t="str">
            <v/>
          </cell>
          <cell r="AB172" t="e">
            <v>#VALUE!</v>
          </cell>
          <cell r="AC172">
            <v>0</v>
          </cell>
          <cell r="AD172" t="str">
            <v>Не рассчитывалась</v>
          </cell>
          <cell r="AE172" t="str">
            <v>Не рассчитывалась</v>
          </cell>
          <cell r="AF172" t="e">
            <v>#VALUE!</v>
          </cell>
          <cell r="AG172">
            <v>0</v>
          </cell>
          <cell r="AH172" t="str">
            <v>не будет использоваться</v>
          </cell>
          <cell r="AI172">
            <v>0</v>
          </cell>
          <cell r="AL172">
            <v>0</v>
          </cell>
          <cell r="AM172" t="str">
            <v>Не рассчитывалась</v>
          </cell>
        </row>
        <row r="173">
          <cell r="A173">
            <v>232</v>
          </cell>
          <cell r="B173" t="str">
            <v>Ц00003199</v>
          </cell>
          <cell r="C173" t="str">
            <v>Жомовая яма КДС  (НП МТФ№3)</v>
          </cell>
          <cell r="D173">
            <v>41913</v>
          </cell>
          <cell r="E173">
            <v>41913</v>
          </cell>
          <cell r="F173">
            <v>761.4</v>
          </cell>
          <cell r="G173">
            <v>0.98663458968190321</v>
          </cell>
          <cell r="H173">
            <v>751.2235765838011</v>
          </cell>
          <cell r="I173">
            <v>1.2493150684931507</v>
          </cell>
          <cell r="J173" t="str">
            <v>бетон</v>
          </cell>
          <cell r="K173">
            <v>0</v>
          </cell>
          <cell r="L173">
            <v>45</v>
          </cell>
          <cell r="M173">
            <v>2.7762557077625569E-2</v>
          </cell>
          <cell r="N173">
            <v>0</v>
          </cell>
          <cell r="O173">
            <v>0</v>
          </cell>
          <cell r="P173">
            <v>2.7762557077625538E-2</v>
          </cell>
          <cell r="Q173">
            <v>0</v>
          </cell>
          <cell r="R173" t="e">
            <v>#DIV/0!</v>
          </cell>
          <cell r="S173">
            <v>0</v>
          </cell>
          <cell r="T173">
            <v>730</v>
          </cell>
          <cell r="U173" t="e">
            <v>#DIV/0!</v>
          </cell>
          <cell r="V173" t="e">
            <v>#DIV/0!</v>
          </cell>
          <cell r="W173">
            <v>0</v>
          </cell>
          <cell r="X173">
            <v>0</v>
          </cell>
          <cell r="Y173">
            <v>0</v>
          </cell>
          <cell r="Z173" t="str">
            <v/>
          </cell>
          <cell r="AA173" t="str">
            <v/>
          </cell>
          <cell r="AB173" t="e">
            <v>#VALUE!</v>
          </cell>
          <cell r="AC173">
            <v>0</v>
          </cell>
          <cell r="AD173" t="str">
            <v>Не рассчитывалась</v>
          </cell>
          <cell r="AE173" t="str">
            <v>Не рассчитывалась</v>
          </cell>
          <cell r="AF173" t="e">
            <v>#VALUE!</v>
          </cell>
          <cell r="AG173">
            <v>0</v>
          </cell>
          <cell r="AH173" t="str">
            <v>не будет использоваться</v>
          </cell>
          <cell r="AI173">
            <v>0</v>
          </cell>
          <cell r="AL173">
            <v>0</v>
          </cell>
          <cell r="AM173" t="str">
            <v>Не рассчитывалась</v>
          </cell>
        </row>
        <row r="174">
          <cell r="A174">
            <v>233</v>
          </cell>
          <cell r="B174" t="str">
            <v>Ц00002276</v>
          </cell>
          <cell r="C174" t="str">
            <v>Замощение Об.пл. 1249,8кв.м. Кад№ 23:24:0701000:812 Литер XXXI  (НП  МТФ№2)</v>
          </cell>
          <cell r="D174">
            <v>41935</v>
          </cell>
          <cell r="E174">
            <v>41935</v>
          </cell>
          <cell r="F174">
            <v>867276.04</v>
          </cell>
          <cell r="G174">
            <v>0.98663458968190321</v>
          </cell>
          <cell r="H174">
            <v>855684.53986634593</v>
          </cell>
          <cell r="I174">
            <v>1.189041095890411</v>
          </cell>
          <cell r="J174" t="str">
            <v>монолитный бетон</v>
          </cell>
          <cell r="K174">
            <v>0</v>
          </cell>
          <cell r="L174">
            <v>20</v>
          </cell>
          <cell r="M174">
            <v>5.9452054794520551E-2</v>
          </cell>
          <cell r="N174">
            <v>0</v>
          </cell>
          <cell r="O174">
            <v>0</v>
          </cell>
          <cell r="P174">
            <v>5.9452054794520537E-2</v>
          </cell>
          <cell r="Q174">
            <v>800193.92</v>
          </cell>
          <cell r="R174">
            <v>640.25757721235402</v>
          </cell>
          <cell r="S174" t="str">
            <v>Соответствует</v>
          </cell>
          <cell r="T174">
            <v>804812</v>
          </cell>
          <cell r="U174">
            <v>643.95263242118745</v>
          </cell>
          <cell r="V174">
            <v>1.0057712010608628</v>
          </cell>
          <cell r="W174" t="str">
            <v>Соответствует</v>
          </cell>
          <cell r="X174" t="str">
            <v>хорошее</v>
          </cell>
          <cell r="Y174">
            <v>0.25</v>
          </cell>
          <cell r="Z174">
            <v>641763.40489975945</v>
          </cell>
          <cell r="AA174">
            <v>513.49288278105257</v>
          </cell>
          <cell r="AB174">
            <v>0.80200984893731686</v>
          </cell>
          <cell r="AC174" t="str">
            <v>Соответствует</v>
          </cell>
          <cell r="AD174" t="str">
            <v>Не рассчитывалась</v>
          </cell>
          <cell r="AE174" t="str">
            <v>Не рассчитывалась</v>
          </cell>
          <cell r="AF174" t="e">
            <v>#VALUE!</v>
          </cell>
          <cell r="AG174">
            <v>1249.8</v>
          </cell>
          <cell r="AH174">
            <v>0</v>
          </cell>
          <cell r="AI174">
            <v>0</v>
          </cell>
          <cell r="AL174">
            <v>804812</v>
          </cell>
          <cell r="AM174" t="str">
            <v>По сроку службы</v>
          </cell>
        </row>
        <row r="175">
          <cell r="A175">
            <v>234</v>
          </cell>
          <cell r="B175" t="str">
            <v>Ц00002279</v>
          </cell>
          <cell r="C175" t="str">
            <v>Замощение Об.пл. 1284,7кв.м. Кад№ 23:24:0701000:814  Литер XXXI (НП  МТФ№2)</v>
          </cell>
          <cell r="D175">
            <v>41935</v>
          </cell>
          <cell r="E175">
            <v>41935</v>
          </cell>
          <cell r="F175">
            <v>891494.25</v>
          </cell>
          <cell r="G175">
            <v>0.98663458968190321</v>
          </cell>
          <cell r="H175">
            <v>879579.06355252606</v>
          </cell>
          <cell r="I175">
            <v>1.189041095890411</v>
          </cell>
          <cell r="J175" t="str">
            <v>монолитный бетон</v>
          </cell>
          <cell r="K175">
            <v>0</v>
          </cell>
          <cell r="L175">
            <v>20</v>
          </cell>
          <cell r="M175">
            <v>5.9452054794520551E-2</v>
          </cell>
          <cell r="N175">
            <v>0</v>
          </cell>
          <cell r="O175">
            <v>0</v>
          </cell>
          <cell r="P175">
            <v>5.9452054794520537E-2</v>
          </cell>
          <cell r="Q175">
            <v>822538.92999999993</v>
          </cell>
          <cell r="R175">
            <v>640.2575932124231</v>
          </cell>
          <cell r="S175" t="str">
            <v>Соответствует</v>
          </cell>
          <cell r="T175">
            <v>827286</v>
          </cell>
          <cell r="U175">
            <v>643.95267377597884</v>
          </cell>
          <cell r="V175">
            <v>1.005771240517455</v>
          </cell>
          <cell r="W175" t="str">
            <v>Соответствует</v>
          </cell>
          <cell r="X175" t="str">
            <v>хорошее</v>
          </cell>
          <cell r="Y175">
            <v>0.25</v>
          </cell>
          <cell r="Z175">
            <v>659684.2976643946</v>
          </cell>
          <cell r="AA175">
            <v>513.49287589662538</v>
          </cell>
          <cell r="AB175">
            <v>0.80200981814246119</v>
          </cell>
          <cell r="AC175" t="str">
            <v>Соответствует</v>
          </cell>
          <cell r="AD175" t="str">
            <v>Не рассчитывалась</v>
          </cell>
          <cell r="AE175" t="str">
            <v>Не рассчитывалась</v>
          </cell>
          <cell r="AF175" t="e">
            <v>#VALUE!</v>
          </cell>
          <cell r="AG175">
            <v>1284.7</v>
          </cell>
          <cell r="AH175">
            <v>0</v>
          </cell>
          <cell r="AI175">
            <v>0</v>
          </cell>
          <cell r="AL175">
            <v>827286</v>
          </cell>
          <cell r="AM175" t="str">
            <v>По сроку службы</v>
          </cell>
        </row>
        <row r="176">
          <cell r="A176">
            <v>235</v>
          </cell>
          <cell r="B176" t="str">
            <v>Ц00002280</v>
          </cell>
          <cell r="C176" t="str">
            <v>Замощение Об.пл. 250,4кв.м. Кад№ 23:24:0701000:807 Литер XXXI (НП  МТФ№2)</v>
          </cell>
          <cell r="D176">
            <v>41935</v>
          </cell>
          <cell r="E176">
            <v>41935</v>
          </cell>
          <cell r="F176">
            <v>173760.53</v>
          </cell>
          <cell r="G176">
            <v>0.98663458968190321</v>
          </cell>
          <cell r="H176">
            <v>171438.14921946003</v>
          </cell>
          <cell r="I176">
            <v>1.189041095890411</v>
          </cell>
          <cell r="J176" t="str">
            <v>монолитный железобетон</v>
          </cell>
          <cell r="K176">
            <v>0</v>
          </cell>
          <cell r="L176">
            <v>20</v>
          </cell>
          <cell r="M176">
            <v>5.9452054794520551E-2</v>
          </cell>
          <cell r="N176">
            <v>0</v>
          </cell>
          <cell r="O176">
            <v>0</v>
          </cell>
          <cell r="P176">
            <v>5.9452054794520537E-2</v>
          </cell>
          <cell r="Q176">
            <v>160320.53</v>
          </cell>
          <cell r="R176">
            <v>640.25770766773167</v>
          </cell>
          <cell r="S176" t="str">
            <v>Соответствует</v>
          </cell>
          <cell r="T176">
            <v>161246</v>
          </cell>
          <cell r="U176">
            <v>643.9536741214057</v>
          </cell>
          <cell r="V176">
            <v>1.005772623131922</v>
          </cell>
          <cell r="W176" t="str">
            <v>Соответствует</v>
          </cell>
          <cell r="X176" t="str">
            <v>хорошее</v>
          </cell>
          <cell r="Y176">
            <v>0.25</v>
          </cell>
          <cell r="Z176">
            <v>128578.61191459502</v>
          </cell>
          <cell r="AA176">
            <v>513.49285908384593</v>
          </cell>
          <cell r="AB176">
            <v>0.80200964851223377</v>
          </cell>
          <cell r="AC176" t="str">
            <v>Соответствует</v>
          </cell>
          <cell r="AD176" t="str">
            <v>Не рассчитывалась</v>
          </cell>
          <cell r="AE176" t="str">
            <v>Не рассчитывалась</v>
          </cell>
          <cell r="AF176" t="e">
            <v>#VALUE!</v>
          </cell>
          <cell r="AG176">
            <v>250.4</v>
          </cell>
          <cell r="AH176">
            <v>0</v>
          </cell>
          <cell r="AI176">
            <v>0</v>
          </cell>
          <cell r="AL176">
            <v>161246</v>
          </cell>
          <cell r="AM176" t="str">
            <v>По сроку службы</v>
          </cell>
        </row>
        <row r="177">
          <cell r="A177">
            <v>236</v>
          </cell>
          <cell r="B177" t="str">
            <v>Ц00002275</v>
          </cell>
          <cell r="C177" t="str">
            <v>Замощение Об.пл. 401,2кв.м. Кад№ 23:24:0701000:810 Литер XXXI  (НП  МТФ№2)</v>
          </cell>
          <cell r="D177">
            <v>41935</v>
          </cell>
          <cell r="E177">
            <v>41935</v>
          </cell>
          <cell r="F177">
            <v>278405.46000000002</v>
          </cell>
          <cell r="G177">
            <v>0.98663458968190321</v>
          </cell>
          <cell r="H177">
            <v>274684.45679230156</v>
          </cell>
          <cell r="I177">
            <v>1.189041095890411</v>
          </cell>
          <cell r="J177" t="str">
            <v>монолитный бетон</v>
          </cell>
          <cell r="K177">
            <v>0</v>
          </cell>
          <cell r="L177">
            <v>20</v>
          </cell>
          <cell r="M177">
            <v>5.9452054794520551E-2</v>
          </cell>
          <cell r="N177">
            <v>0</v>
          </cell>
          <cell r="O177">
            <v>0</v>
          </cell>
          <cell r="P177">
            <v>5.9452054794520537E-2</v>
          </cell>
          <cell r="Q177">
            <v>256871.36000000002</v>
          </cell>
          <cell r="R177">
            <v>640.25762711864411</v>
          </cell>
          <cell r="S177" t="str">
            <v>Соответствует</v>
          </cell>
          <cell r="T177">
            <v>258354</v>
          </cell>
          <cell r="U177">
            <v>643.95314057826522</v>
          </cell>
          <cell r="V177">
            <v>1.0057719163397585</v>
          </cell>
          <cell r="W177" t="str">
            <v>Соответствует</v>
          </cell>
          <cell r="X177" t="str">
            <v>хорошее</v>
          </cell>
          <cell r="Y177">
            <v>0.25</v>
          </cell>
          <cell r="Z177">
            <v>206013.34259422618</v>
          </cell>
          <cell r="AA177">
            <v>513.49287785200943</v>
          </cell>
          <cell r="AB177">
            <v>0.80200977872436297</v>
          </cell>
          <cell r="AC177" t="str">
            <v>Соответствует</v>
          </cell>
          <cell r="AD177" t="str">
            <v>Не рассчитывалась</v>
          </cell>
          <cell r="AE177" t="str">
            <v>Не рассчитывалась</v>
          </cell>
          <cell r="AF177" t="e">
            <v>#VALUE!</v>
          </cell>
          <cell r="AG177">
            <v>401.2</v>
          </cell>
          <cell r="AH177">
            <v>0</v>
          </cell>
          <cell r="AI177">
            <v>0</v>
          </cell>
          <cell r="AL177">
            <v>258354</v>
          </cell>
          <cell r="AM177" t="str">
            <v>По сроку службы</v>
          </cell>
        </row>
        <row r="178">
          <cell r="A178">
            <v>237</v>
          </cell>
          <cell r="B178" t="str">
            <v>Ц00002277</v>
          </cell>
          <cell r="C178" t="str">
            <v>Замощение Об.пл. 511,2кв.м. Кад№ 23:24:0701000:809  Литер XXXI (НП  МТФ№2)</v>
          </cell>
          <cell r="D178">
            <v>41935</v>
          </cell>
          <cell r="E178">
            <v>41935</v>
          </cell>
          <cell r="F178">
            <v>354737.97</v>
          </cell>
          <cell r="G178">
            <v>0.98663458968190321</v>
          </cell>
          <cell r="H178">
            <v>349996.75147554127</v>
          </cell>
          <cell r="I178">
            <v>1.189041095890411</v>
          </cell>
          <cell r="J178" t="str">
            <v>монолитный бетон</v>
          </cell>
          <cell r="K178">
            <v>0</v>
          </cell>
          <cell r="L178">
            <v>20</v>
          </cell>
          <cell r="M178">
            <v>5.9452054794520551E-2</v>
          </cell>
          <cell r="N178">
            <v>0</v>
          </cell>
          <cell r="O178">
            <v>0</v>
          </cell>
          <cell r="P178">
            <v>5.9452054794520537E-2</v>
          </cell>
          <cell r="Q178">
            <v>327299.64999999997</v>
          </cell>
          <cell r="R178">
            <v>640.2575312989045</v>
          </cell>
          <cell r="S178" t="str">
            <v>Соответствует</v>
          </cell>
          <cell r="T178">
            <v>329189</v>
          </cell>
          <cell r="U178">
            <v>643.95344287949922</v>
          </cell>
          <cell r="V178">
            <v>1.0057725390173806</v>
          </cell>
          <cell r="W178" t="str">
            <v>Соответствует</v>
          </cell>
          <cell r="X178" t="str">
            <v>хорошее</v>
          </cell>
          <cell r="Y178">
            <v>0.25</v>
          </cell>
          <cell r="Z178">
            <v>262497.56360665592</v>
          </cell>
          <cell r="AA178">
            <v>513.49288655449129</v>
          </cell>
          <cell r="AB178">
            <v>0.80200991234379859</v>
          </cell>
          <cell r="AC178" t="str">
            <v>Соответствует</v>
          </cell>
          <cell r="AD178" t="str">
            <v>Не рассчитывалась</v>
          </cell>
          <cell r="AE178" t="str">
            <v>Не рассчитывалась</v>
          </cell>
          <cell r="AF178" t="e">
            <v>#VALUE!</v>
          </cell>
          <cell r="AG178">
            <v>511.2</v>
          </cell>
          <cell r="AH178">
            <v>0</v>
          </cell>
          <cell r="AI178">
            <v>0</v>
          </cell>
          <cell r="AL178">
            <v>329189</v>
          </cell>
          <cell r="AM178" t="str">
            <v>По сроку службы</v>
          </cell>
        </row>
        <row r="179">
          <cell r="A179">
            <v>238</v>
          </cell>
          <cell r="B179" t="str">
            <v>Ц00002278</v>
          </cell>
          <cell r="C179" t="str">
            <v>Замощение Об.пл. 588,4кв.м. Кад№ 23:24:0701000:811 Литер XXXI (НП  МТФ№2)</v>
          </cell>
          <cell r="D179">
            <v>41935</v>
          </cell>
          <cell r="E179">
            <v>41935</v>
          </cell>
          <cell r="F179">
            <v>408309.5</v>
          </cell>
          <cell r="G179">
            <v>0.98663458968190321</v>
          </cell>
          <cell r="H179">
            <v>402852.27599572303</v>
          </cell>
          <cell r="I179">
            <v>1.189041095890411</v>
          </cell>
          <cell r="J179" t="str">
            <v>монолитный бетон</v>
          </cell>
          <cell r="K179">
            <v>0</v>
          </cell>
          <cell r="L179">
            <v>20</v>
          </cell>
          <cell r="M179">
            <v>5.9452054794520551E-2</v>
          </cell>
          <cell r="N179">
            <v>0</v>
          </cell>
          <cell r="O179">
            <v>0</v>
          </cell>
          <cell r="P179">
            <v>5.9452054794520537E-2</v>
          </cell>
          <cell r="Q179">
            <v>376727.6</v>
          </cell>
          <cell r="R179">
            <v>640.25764785859963</v>
          </cell>
          <cell r="S179" t="str">
            <v>Соответствует</v>
          </cell>
          <cell r="T179">
            <v>378902</v>
          </cell>
          <cell r="U179">
            <v>643.95309313392249</v>
          </cell>
          <cell r="V179">
            <v>1.0057718096576944</v>
          </cell>
          <cell r="W179" t="str">
            <v>Соответствует</v>
          </cell>
          <cell r="X179" t="str">
            <v>хорошее</v>
          </cell>
          <cell r="Y179">
            <v>0.25</v>
          </cell>
          <cell r="Z179">
            <v>302139.20699679229</v>
          </cell>
          <cell r="AA179">
            <v>513.49287388985772</v>
          </cell>
          <cell r="AB179">
            <v>0.80200974655637736</v>
          </cell>
          <cell r="AC179" t="str">
            <v>Соответствует</v>
          </cell>
          <cell r="AD179" t="str">
            <v>Не рассчитывалась</v>
          </cell>
          <cell r="AE179" t="str">
            <v>Не рассчитывалась</v>
          </cell>
          <cell r="AF179" t="e">
            <v>#VALUE!</v>
          </cell>
          <cell r="AG179">
            <v>588.4</v>
          </cell>
          <cell r="AH179">
            <v>0</v>
          </cell>
          <cell r="AI179">
            <v>0</v>
          </cell>
          <cell r="AL179">
            <v>378902</v>
          </cell>
          <cell r="AM179" t="str">
            <v>По сроку службы</v>
          </cell>
        </row>
        <row r="180">
          <cell r="A180">
            <v>239</v>
          </cell>
          <cell r="B180" t="str">
            <v>Ц00002273</v>
          </cell>
          <cell r="C180" t="str">
            <v>Замощение Об.пл. 590,4кв.м. Кад№ 23:24:0701000:813 Литер XXXI (НП  МТФ№2)</v>
          </cell>
          <cell r="D180">
            <v>41935</v>
          </cell>
          <cell r="E180">
            <v>41935</v>
          </cell>
          <cell r="F180">
            <v>409697.36</v>
          </cell>
          <cell r="G180">
            <v>0.98663458968190321</v>
          </cell>
          <cell r="H180">
            <v>404221.58667735895</v>
          </cell>
          <cell r="I180">
            <v>1.189041095890411</v>
          </cell>
          <cell r="J180" t="str">
            <v>монолитный бетон</v>
          </cell>
          <cell r="K180">
            <v>0</v>
          </cell>
          <cell r="L180">
            <v>20</v>
          </cell>
          <cell r="M180">
            <v>5.9452054794520551E-2</v>
          </cell>
          <cell r="N180">
            <v>0</v>
          </cell>
          <cell r="O180">
            <v>0</v>
          </cell>
          <cell r="P180">
            <v>5.9452054794520537E-2</v>
          </cell>
          <cell r="Q180">
            <v>378008.07999999996</v>
          </cell>
          <cell r="R180">
            <v>640.25758807588068</v>
          </cell>
          <cell r="S180" t="str">
            <v>Соответствует</v>
          </cell>
          <cell r="T180">
            <v>380190</v>
          </cell>
          <cell r="U180">
            <v>643.95325203252037</v>
          </cell>
          <cell r="V180">
            <v>1.0057721517487141</v>
          </cell>
          <cell r="W180" t="str">
            <v>Соответствует</v>
          </cell>
          <cell r="X180" t="str">
            <v>хорошее</v>
          </cell>
          <cell r="Y180">
            <v>0.25</v>
          </cell>
          <cell r="Z180">
            <v>303166.19000801921</v>
          </cell>
          <cell r="AA180">
            <v>513.49286925477509</v>
          </cell>
          <cell r="AB180">
            <v>0.80200981420296424</v>
          </cell>
          <cell r="AC180" t="str">
            <v>Соответствует</v>
          </cell>
          <cell r="AD180" t="str">
            <v>Не рассчитывалась</v>
          </cell>
          <cell r="AE180" t="str">
            <v>Не рассчитывалась</v>
          </cell>
          <cell r="AF180" t="e">
            <v>#VALUE!</v>
          </cell>
          <cell r="AG180">
            <v>590.4</v>
          </cell>
          <cell r="AH180">
            <v>0</v>
          </cell>
          <cell r="AI180">
            <v>0</v>
          </cell>
          <cell r="AL180">
            <v>380190</v>
          </cell>
          <cell r="AM180" t="str">
            <v>По сроку службы</v>
          </cell>
        </row>
        <row r="181">
          <cell r="A181">
            <v>240</v>
          </cell>
          <cell r="B181" t="str">
            <v>Ц00002271</v>
          </cell>
          <cell r="C181" t="str">
            <v>Замощение Об.пл. 628,3кв.м. Кад№ 23:24:0701000:808 Литер XXXI  (НП  МТФ№2)</v>
          </cell>
          <cell r="D181">
            <v>41935</v>
          </cell>
          <cell r="E181">
            <v>41935</v>
          </cell>
          <cell r="F181">
            <v>435997.38</v>
          </cell>
          <cell r="G181">
            <v>0.98663458968190321</v>
          </cell>
          <cell r="H181">
            <v>430170.09611868486</v>
          </cell>
          <cell r="I181">
            <v>1.189041095890411</v>
          </cell>
          <cell r="J181" t="str">
            <v>монолитный бетон</v>
          </cell>
          <cell r="K181">
            <v>0</v>
          </cell>
          <cell r="L181">
            <v>20</v>
          </cell>
          <cell r="M181">
            <v>5.9452054794520551E-2</v>
          </cell>
          <cell r="N181">
            <v>0</v>
          </cell>
          <cell r="O181">
            <v>0</v>
          </cell>
          <cell r="P181">
            <v>5.9452054794520537E-2</v>
          </cell>
          <cell r="Q181">
            <v>402273.76</v>
          </cell>
          <cell r="R181">
            <v>640.25745662899897</v>
          </cell>
          <cell r="S181" t="str">
            <v>Соответствует</v>
          </cell>
          <cell r="T181">
            <v>404596</v>
          </cell>
          <cell r="U181">
            <v>643.95352538596217</v>
          </cell>
          <cell r="V181">
            <v>1.0057727851799232</v>
          </cell>
          <cell r="W181" t="str">
            <v>Соответствует</v>
          </cell>
          <cell r="X181" t="str">
            <v>хорошее</v>
          </cell>
          <cell r="Y181">
            <v>0.25</v>
          </cell>
          <cell r="Z181">
            <v>322627.57208901364</v>
          </cell>
          <cell r="AA181">
            <v>513.49287297312378</v>
          </cell>
          <cell r="AB181">
            <v>0.80200998466570039</v>
          </cell>
          <cell r="AC181" t="str">
            <v>Соответствует</v>
          </cell>
          <cell r="AD181" t="str">
            <v>Не рассчитывалась</v>
          </cell>
          <cell r="AE181" t="str">
            <v>Не рассчитывалась</v>
          </cell>
          <cell r="AF181" t="e">
            <v>#VALUE!</v>
          </cell>
          <cell r="AG181">
            <v>628.29999999999995</v>
          </cell>
          <cell r="AH181">
            <v>0</v>
          </cell>
          <cell r="AI181">
            <v>0</v>
          </cell>
          <cell r="AJ181" t="str">
            <v>Фото не предоставлено. Рыночная стоимость не существенно отличается от остаточной. В связи с этим Оценщик принял допущение о правильности расчетов по физическому износу, определенному экспертно по аналогии с остальными замощениями.</v>
          </cell>
          <cell r="AL181">
            <v>404596</v>
          </cell>
          <cell r="AM181" t="str">
            <v>По сроку службы</v>
          </cell>
        </row>
        <row r="182">
          <cell r="A182">
            <v>241</v>
          </cell>
          <cell r="B182" t="str">
            <v>Ц00002274</v>
          </cell>
          <cell r="C182" t="str">
            <v>Замощение Об.пл. 730,2кв.м. Кад№ 23:24:0701000:806 Литер XXXI  (НП  МТФ№2)</v>
          </cell>
          <cell r="D182">
            <v>41935</v>
          </cell>
          <cell r="E182">
            <v>41935</v>
          </cell>
          <cell r="F182">
            <v>506709.04</v>
          </cell>
          <cell r="G182">
            <v>0.98663458968190321</v>
          </cell>
          <cell r="H182">
            <v>499936.66576851107</v>
          </cell>
          <cell r="I182">
            <v>1.189041095890411</v>
          </cell>
          <cell r="J182" t="str">
            <v>монолитный железобетон</v>
          </cell>
          <cell r="K182">
            <v>0</v>
          </cell>
          <cell r="L182">
            <v>20</v>
          </cell>
          <cell r="M182">
            <v>5.9452054794520551E-2</v>
          </cell>
          <cell r="N182">
            <v>0</v>
          </cell>
          <cell r="O182">
            <v>0</v>
          </cell>
          <cell r="P182">
            <v>5.9452054794520537E-2</v>
          </cell>
          <cell r="Q182">
            <v>467516.04</v>
          </cell>
          <cell r="R182">
            <v>640.25751848808534</v>
          </cell>
          <cell r="S182" t="str">
            <v>Соответствует</v>
          </cell>
          <cell r="T182">
            <v>470214</v>
          </cell>
          <cell r="U182">
            <v>643.95234182415777</v>
          </cell>
          <cell r="V182">
            <v>1.0057708394347282</v>
          </cell>
          <cell r="W182" t="str">
            <v>Соответствует</v>
          </cell>
          <cell r="X182" t="str">
            <v>хорошее</v>
          </cell>
          <cell r="Y182">
            <v>0.25</v>
          </cell>
          <cell r="Z182">
            <v>374952.49932638329</v>
          </cell>
          <cell r="AA182">
            <v>513.49287774086997</v>
          </cell>
          <cell r="AB182">
            <v>0.80200991462535343</v>
          </cell>
          <cell r="AC182" t="str">
            <v>Соответствует</v>
          </cell>
          <cell r="AD182" t="str">
            <v>Не рассчитывалась</v>
          </cell>
          <cell r="AE182" t="str">
            <v>Не рассчитывалась</v>
          </cell>
          <cell r="AF182" t="e">
            <v>#VALUE!</v>
          </cell>
          <cell r="AG182">
            <v>730.2</v>
          </cell>
          <cell r="AH182">
            <v>0</v>
          </cell>
          <cell r="AI182">
            <v>0</v>
          </cell>
          <cell r="AL182">
            <v>470214</v>
          </cell>
          <cell r="AM182" t="str">
            <v>По сроку службы</v>
          </cell>
        </row>
        <row r="183">
          <cell r="A183">
            <v>242</v>
          </cell>
          <cell r="B183" t="str">
            <v>Ц00002281</v>
          </cell>
          <cell r="C183" t="str">
            <v>Замощение Об.пл. 797,6кв.м. Кад№ 23:24:0701000:817 Литер XXXI  (НП  МТФ№2)</v>
          </cell>
          <cell r="D183">
            <v>41935</v>
          </cell>
          <cell r="E183">
            <v>41935</v>
          </cell>
          <cell r="F183">
            <v>553480.05000000005</v>
          </cell>
          <cell r="G183">
            <v>0.98663458968190321</v>
          </cell>
          <cell r="H183">
            <v>546082.56202886929</v>
          </cell>
          <cell r="I183">
            <v>1.189041095890411</v>
          </cell>
          <cell r="J183" t="str">
            <v>монолитный бетон</v>
          </cell>
          <cell r="K183">
            <v>0</v>
          </cell>
          <cell r="L183">
            <v>20</v>
          </cell>
          <cell r="M183">
            <v>5.9452054794520551E-2</v>
          </cell>
          <cell r="N183">
            <v>0</v>
          </cell>
          <cell r="O183">
            <v>0</v>
          </cell>
          <cell r="P183">
            <v>5.9452054794520537E-2</v>
          </cell>
          <cell r="Q183">
            <v>510669.45000000007</v>
          </cell>
          <cell r="R183">
            <v>640.25758525576737</v>
          </cell>
          <cell r="S183" t="str">
            <v>Соответствует</v>
          </cell>
          <cell r="T183">
            <v>513617</v>
          </cell>
          <cell r="U183">
            <v>643.95310932798395</v>
          </cell>
          <cell r="V183">
            <v>1.0057719332926611</v>
          </cell>
          <cell r="W183" t="str">
            <v>Соответствует</v>
          </cell>
          <cell r="X183" t="str">
            <v>хорошее</v>
          </cell>
          <cell r="Y183">
            <v>0.25</v>
          </cell>
          <cell r="Z183">
            <v>409561.92152165197</v>
          </cell>
          <cell r="AA183">
            <v>513.49288054369606</v>
          </cell>
          <cell r="AB183">
            <v>0.8020098353673828</v>
          </cell>
          <cell r="AC183" t="str">
            <v>Соответствует</v>
          </cell>
          <cell r="AD183" t="str">
            <v>Не рассчитывалась</v>
          </cell>
          <cell r="AE183" t="str">
            <v>Не рассчитывалась</v>
          </cell>
          <cell r="AF183" t="e">
            <v>#VALUE!</v>
          </cell>
          <cell r="AG183">
            <v>797.6</v>
          </cell>
          <cell r="AH183">
            <v>0</v>
          </cell>
          <cell r="AI183">
            <v>0</v>
          </cell>
          <cell r="AL183">
            <v>513617</v>
          </cell>
          <cell r="AM183" t="str">
            <v>По сроку службы</v>
          </cell>
        </row>
        <row r="184">
          <cell r="A184">
            <v>244</v>
          </cell>
          <cell r="B184" t="str">
            <v>Ц00003194</v>
          </cell>
          <cell r="C184" t="str">
            <v>Здание половохранилище (Литер Ж, S=410,7) (НП МТФ№3)</v>
          </cell>
          <cell r="D184">
            <v>41913</v>
          </cell>
          <cell r="E184">
            <v>41913</v>
          </cell>
          <cell r="F184">
            <v>50347.63</v>
          </cell>
          <cell r="G184">
            <v>0.98663458968190321</v>
          </cell>
          <cell r="H184">
            <v>49674.713266506275</v>
          </cell>
          <cell r="I184">
            <v>1.2493150684931507</v>
          </cell>
          <cell r="J184" t="str">
            <v>Бетон</v>
          </cell>
          <cell r="K184">
            <v>0</v>
          </cell>
          <cell r="L184">
            <v>50</v>
          </cell>
          <cell r="M184">
            <v>2.4986301369863014E-2</v>
          </cell>
          <cell r="N184">
            <v>0</v>
          </cell>
          <cell r="O184">
            <v>0</v>
          </cell>
          <cell r="P184">
            <v>2.4986301369863018E-2</v>
          </cell>
          <cell r="Q184">
            <v>46453.39</v>
          </cell>
          <cell r="R184">
            <v>113.0252798053528</v>
          </cell>
          <cell r="S184" t="str">
            <v>Соответствует</v>
          </cell>
          <cell r="T184">
            <v>48434</v>
          </cell>
          <cell r="U184">
            <v>117.84428223844282</v>
          </cell>
          <cell r="V184">
            <v>1.042636500802202</v>
          </cell>
          <cell r="W184" t="str">
            <v>Соответствует</v>
          </cell>
          <cell r="X184">
            <v>0</v>
          </cell>
          <cell r="Y184">
            <v>0</v>
          </cell>
          <cell r="Z184" t="str">
            <v/>
          </cell>
          <cell r="AA184" t="str">
            <v/>
          </cell>
          <cell r="AB184" t="e">
            <v>#VALUE!</v>
          </cell>
          <cell r="AC184" t="str">
            <v>Не рассчитывалась</v>
          </cell>
          <cell r="AD184" t="str">
            <v>Не рассчитывалась</v>
          </cell>
          <cell r="AE184" t="str">
            <v>Не рассчитывалась</v>
          </cell>
          <cell r="AF184" t="e">
            <v>#VALUE!</v>
          </cell>
          <cell r="AG184">
            <v>411</v>
          </cell>
          <cell r="AH184">
            <v>0</v>
          </cell>
          <cell r="AI184" t="str">
            <v>Уточнить состояние по фото</v>
          </cell>
          <cell r="AJ184" t="str">
            <v>Фото не предоставлено. Чем обусловлена столь низкая балансовая стоимость 50 347 тыс. руб. за бетонный объект площадью 410 кв. м? Расчет по Ко-Инвесту невозможен, т. к. не предоставлены данные о строительном объеме.</v>
          </cell>
          <cell r="AK184">
            <v>1</v>
          </cell>
          <cell r="AL184">
            <v>48434</v>
          </cell>
          <cell r="AM184" t="str">
            <v>По сроку службы</v>
          </cell>
        </row>
        <row r="185">
          <cell r="A185">
            <v>245</v>
          </cell>
          <cell r="B185" t="str">
            <v>Ц00003195</v>
          </cell>
          <cell r="C185" t="str">
            <v>Здание половохранилище (Литер И, S=876,8) (НП МТФ№3)</v>
          </cell>
          <cell r="D185">
            <v>41913</v>
          </cell>
          <cell r="E185">
            <v>41913</v>
          </cell>
          <cell r="F185">
            <v>24605.599999999999</v>
          </cell>
          <cell r="G185">
            <v>0.98663458968190321</v>
          </cell>
          <cell r="H185">
            <v>24276.736059877036</v>
          </cell>
          <cell r="I185">
            <v>1.2493150684931507</v>
          </cell>
          <cell r="J185" t="str">
            <v>Бетон</v>
          </cell>
          <cell r="K185">
            <v>0</v>
          </cell>
          <cell r="L185">
            <v>50</v>
          </cell>
          <cell r="M185">
            <v>2.4986301369863014E-2</v>
          </cell>
          <cell r="N185">
            <v>0</v>
          </cell>
          <cell r="O185">
            <v>0</v>
          </cell>
          <cell r="P185">
            <v>2.4986301369863018E-2</v>
          </cell>
          <cell r="Q185">
            <v>0</v>
          </cell>
          <cell r="R185">
            <v>0</v>
          </cell>
          <cell r="S185">
            <v>0</v>
          </cell>
          <cell r="T185">
            <v>23670</v>
          </cell>
          <cell r="U185">
            <v>26.989737742303308</v>
          </cell>
          <cell r="V185" t="e">
            <v>#DIV/0!</v>
          </cell>
          <cell r="W185">
            <v>0</v>
          </cell>
          <cell r="X185">
            <v>0</v>
          </cell>
          <cell r="Y185">
            <v>0</v>
          </cell>
          <cell r="Z185" t="str">
            <v/>
          </cell>
          <cell r="AA185" t="str">
            <v/>
          </cell>
          <cell r="AB185" t="e">
            <v>#VALUE!</v>
          </cell>
          <cell r="AC185">
            <v>0</v>
          </cell>
          <cell r="AD185" t="str">
            <v>Не рассчитывалась</v>
          </cell>
          <cell r="AE185" t="str">
            <v>Не рассчитывалась</v>
          </cell>
          <cell r="AF185" t="e">
            <v>#VALUE!</v>
          </cell>
          <cell r="AG185">
            <v>877</v>
          </cell>
          <cell r="AH185" t="str">
            <v>не будет использоваться</v>
          </cell>
          <cell r="AI185" t="str">
            <v>Уточнить состояние по фото</v>
          </cell>
          <cell r="AL185">
            <v>0</v>
          </cell>
          <cell r="AM185" t="str">
            <v>Не рассчитывалась</v>
          </cell>
        </row>
        <row r="186">
          <cell r="A186">
            <v>246</v>
          </cell>
          <cell r="B186" t="str">
            <v>Ц00003198</v>
          </cell>
          <cell r="C186" t="str">
            <v>Канализация навозная  (НП МТФ№3)</v>
          </cell>
          <cell r="D186">
            <v>41913</v>
          </cell>
          <cell r="E186">
            <v>41913</v>
          </cell>
          <cell r="F186">
            <v>761.4</v>
          </cell>
          <cell r="G186">
            <v>0.98663458968190321</v>
          </cell>
          <cell r="H186">
            <v>751.2235765838011</v>
          </cell>
          <cell r="I186">
            <v>1.2493150684931507</v>
          </cell>
          <cell r="J186" t="str">
            <v>Бетон</v>
          </cell>
          <cell r="K186">
            <v>0</v>
          </cell>
          <cell r="L186">
            <v>25</v>
          </cell>
          <cell r="M186">
            <v>4.9972602739726028E-2</v>
          </cell>
          <cell r="N186">
            <v>0</v>
          </cell>
          <cell r="O186">
            <v>0</v>
          </cell>
          <cell r="P186">
            <v>4.9972602739726035E-2</v>
          </cell>
          <cell r="Q186">
            <v>0</v>
          </cell>
          <cell r="R186" t="e">
            <v>#DIV/0!</v>
          </cell>
          <cell r="S186">
            <v>0</v>
          </cell>
          <cell r="T186">
            <v>714</v>
          </cell>
          <cell r="U186" t="e">
            <v>#DIV/0!</v>
          </cell>
          <cell r="V186" t="e">
            <v>#DIV/0!</v>
          </cell>
          <cell r="W186">
            <v>0</v>
          </cell>
          <cell r="X186">
            <v>0</v>
          </cell>
          <cell r="Y186">
            <v>0</v>
          </cell>
          <cell r="Z186" t="str">
            <v/>
          </cell>
          <cell r="AA186" t="str">
            <v/>
          </cell>
          <cell r="AB186" t="e">
            <v>#VALUE!</v>
          </cell>
          <cell r="AC186">
            <v>0</v>
          </cell>
          <cell r="AD186" t="str">
            <v>Не рассчитывалась</v>
          </cell>
          <cell r="AE186" t="str">
            <v>Не рассчитывалась</v>
          </cell>
          <cell r="AF186" t="e">
            <v>#VALUE!</v>
          </cell>
          <cell r="AG186">
            <v>0</v>
          </cell>
          <cell r="AH186" t="str">
            <v>не будет использоваться</v>
          </cell>
          <cell r="AI186">
            <v>0</v>
          </cell>
          <cell r="AL186">
            <v>0</v>
          </cell>
          <cell r="AM186" t="str">
            <v>Не рассчитывалась</v>
          </cell>
        </row>
        <row r="187">
          <cell r="A187">
            <v>247</v>
          </cell>
          <cell r="B187" t="str">
            <v>Ц00003200</v>
          </cell>
          <cell r="C187" t="str">
            <v>Канализация самотечная  (НП МТФ№3)</v>
          </cell>
          <cell r="D187">
            <v>41913</v>
          </cell>
          <cell r="E187">
            <v>41913</v>
          </cell>
          <cell r="F187">
            <v>761.4</v>
          </cell>
          <cell r="G187">
            <v>0.98663458968190321</v>
          </cell>
          <cell r="H187">
            <v>751.2235765838011</v>
          </cell>
          <cell r="I187">
            <v>1.2493150684931507</v>
          </cell>
          <cell r="J187" t="str">
            <v>Бетон</v>
          </cell>
          <cell r="K187">
            <v>0</v>
          </cell>
          <cell r="L187">
            <v>25</v>
          </cell>
          <cell r="M187">
            <v>4.9972602739726028E-2</v>
          </cell>
          <cell r="N187">
            <v>0</v>
          </cell>
          <cell r="O187">
            <v>0</v>
          </cell>
          <cell r="P187">
            <v>4.9972602739726035E-2</v>
          </cell>
          <cell r="Q187">
            <v>0</v>
          </cell>
          <cell r="R187" t="e">
            <v>#DIV/0!</v>
          </cell>
          <cell r="S187">
            <v>0</v>
          </cell>
          <cell r="T187">
            <v>714</v>
          </cell>
          <cell r="U187" t="e">
            <v>#DIV/0!</v>
          </cell>
          <cell r="V187" t="e">
            <v>#DIV/0!</v>
          </cell>
          <cell r="W187">
            <v>0</v>
          </cell>
          <cell r="X187">
            <v>0</v>
          </cell>
          <cell r="Y187">
            <v>0</v>
          </cell>
          <cell r="Z187" t="str">
            <v/>
          </cell>
          <cell r="AA187" t="str">
            <v/>
          </cell>
          <cell r="AB187" t="e">
            <v>#VALUE!</v>
          </cell>
          <cell r="AC187">
            <v>0</v>
          </cell>
          <cell r="AD187" t="str">
            <v>Не рассчитывалась</v>
          </cell>
          <cell r="AE187" t="str">
            <v>Не рассчитывалась</v>
          </cell>
          <cell r="AF187" t="e">
            <v>#VALUE!</v>
          </cell>
          <cell r="AG187">
            <v>0</v>
          </cell>
          <cell r="AH187" t="str">
            <v>не будет использоваться</v>
          </cell>
          <cell r="AI187">
            <v>0</v>
          </cell>
          <cell r="AL187">
            <v>0</v>
          </cell>
          <cell r="AM187" t="str">
            <v>Не рассчитывалась</v>
          </cell>
        </row>
        <row r="188">
          <cell r="A188">
            <v>250</v>
          </cell>
          <cell r="B188" t="str">
            <v>Р00010142</v>
          </cell>
          <cell r="C188" t="str">
            <v>Кластер №3  Кад№ 23:11:0702000:881</v>
          </cell>
          <cell r="D188">
            <v>41633</v>
          </cell>
          <cell r="E188">
            <v>41633</v>
          </cell>
          <cell r="F188">
            <v>3711949.15</v>
          </cell>
          <cell r="G188">
            <v>1.0161046111493461</v>
          </cell>
          <cell r="H188">
            <v>3771728.6476668958</v>
          </cell>
          <cell r="I188">
            <v>2.0164383561643837</v>
          </cell>
          <cell r="J188" t="str">
            <v>бетон</v>
          </cell>
          <cell r="K188">
            <v>0</v>
          </cell>
          <cell r="L188">
            <v>50</v>
          </cell>
          <cell r="M188">
            <v>4.0328767123287673E-2</v>
          </cell>
          <cell r="N188">
            <v>0</v>
          </cell>
          <cell r="O188">
            <v>0</v>
          </cell>
          <cell r="P188">
            <v>4.0328767123287701E-2</v>
          </cell>
          <cell r="Q188">
            <v>2251510.0299999998</v>
          </cell>
          <cell r="R188" t="e">
            <v>#VALUE!</v>
          </cell>
          <cell r="S188" t="str">
            <v>Соответствует</v>
          </cell>
          <cell r="T188">
            <v>3619619</v>
          </cell>
          <cell r="U188" t="e">
            <v>#VALUE!</v>
          </cell>
          <cell r="V188">
            <v>1.6076406286317988</v>
          </cell>
          <cell r="W188" t="str">
            <v>Соответствует</v>
          </cell>
          <cell r="X188">
            <v>0</v>
          </cell>
          <cell r="Y188">
            <v>0</v>
          </cell>
          <cell r="Z188" t="str">
            <v/>
          </cell>
          <cell r="AA188" t="str">
            <v/>
          </cell>
          <cell r="AB188" t="e">
            <v>#VALUE!</v>
          </cell>
          <cell r="AC188" t="str">
            <v>Не рассчитывалась</v>
          </cell>
          <cell r="AD188" t="str">
            <v>Не рассчитывалась</v>
          </cell>
          <cell r="AE188" t="str">
            <v>Не рассчитывалась</v>
          </cell>
          <cell r="AF188" t="e">
            <v>#VALUE!</v>
          </cell>
          <cell r="AG188" t="str">
            <v>протяженность 1560 м.</v>
          </cell>
          <cell r="AH188">
            <v>0</v>
          </cell>
          <cell r="AI188">
            <v>0</v>
          </cell>
          <cell r="AJ188" t="str">
            <v>Фото не предоставлено. Расчет по Ко-Инвесту невозможен, т. к. не предоставлены данные о строительном объеме.</v>
          </cell>
          <cell r="AL188">
            <v>3619619</v>
          </cell>
          <cell r="AM188" t="str">
            <v>По сроку службы</v>
          </cell>
        </row>
        <row r="189">
          <cell r="A189">
            <v>253</v>
          </cell>
          <cell r="B189">
            <v>617</v>
          </cell>
          <cell r="C189" t="str">
            <v>Корыто из труб</v>
          </cell>
          <cell r="D189">
            <v>31761</v>
          </cell>
          <cell r="E189">
            <v>31761</v>
          </cell>
          <cell r="F189">
            <v>5200</v>
          </cell>
          <cell r="G189">
            <v>13.261762999999998</v>
          </cell>
          <cell r="H189">
            <v>68961.167599999986</v>
          </cell>
          <cell r="I189">
            <v>29.063013698630137</v>
          </cell>
          <cell r="J189" t="str">
            <v>сталь</v>
          </cell>
          <cell r="K189">
            <v>0</v>
          </cell>
          <cell r="L189">
            <v>10</v>
          </cell>
          <cell r="M189">
            <v>0.8</v>
          </cell>
          <cell r="N189">
            <v>0</v>
          </cell>
          <cell r="O189">
            <v>0</v>
          </cell>
          <cell r="P189">
            <v>0.8</v>
          </cell>
          <cell r="Q189">
            <v>0</v>
          </cell>
          <cell r="R189" t="e">
            <v>#DIV/0!</v>
          </cell>
          <cell r="S189">
            <v>0</v>
          </cell>
          <cell r="T189">
            <v>13792</v>
          </cell>
          <cell r="U189" t="e">
            <v>#DIV/0!</v>
          </cell>
          <cell r="V189" t="e">
            <v>#DIV/0!</v>
          </cell>
          <cell r="W189">
            <v>0</v>
          </cell>
          <cell r="X189">
            <v>0</v>
          </cell>
          <cell r="Y189">
            <v>0</v>
          </cell>
          <cell r="Z189" t="str">
            <v/>
          </cell>
          <cell r="AA189" t="str">
            <v/>
          </cell>
          <cell r="AB189" t="e">
            <v>#VALUE!</v>
          </cell>
          <cell r="AC189">
            <v>0</v>
          </cell>
          <cell r="AD189" t="str">
            <v>Не рассчитывалась</v>
          </cell>
          <cell r="AE189" t="str">
            <v>Не рассчитывалась</v>
          </cell>
          <cell r="AF189" t="e">
            <v>#VALUE!</v>
          </cell>
          <cell r="AG189">
            <v>0</v>
          </cell>
          <cell r="AH189" t="str">
            <v>не будет использоваться</v>
          </cell>
          <cell r="AI189">
            <v>0</v>
          </cell>
          <cell r="AL189">
            <v>0</v>
          </cell>
          <cell r="AM189" t="str">
            <v>Не рассчитывалась</v>
          </cell>
        </row>
        <row r="190">
          <cell r="A190">
            <v>254</v>
          </cell>
          <cell r="B190">
            <v>616</v>
          </cell>
          <cell r="C190" t="str">
            <v>Корыто из труб</v>
          </cell>
          <cell r="D190">
            <v>33953</v>
          </cell>
          <cell r="E190">
            <v>33953</v>
          </cell>
          <cell r="F190">
            <v>585</v>
          </cell>
          <cell r="G190">
            <v>13.261762999999998</v>
          </cell>
          <cell r="H190">
            <v>7758.1313549999986</v>
          </cell>
          <cell r="I190">
            <v>23.057534246575344</v>
          </cell>
          <cell r="J190" t="str">
            <v>сталь</v>
          </cell>
          <cell r="K190">
            <v>0</v>
          </cell>
          <cell r="L190">
            <v>10</v>
          </cell>
          <cell r="M190">
            <v>0.8</v>
          </cell>
          <cell r="N190">
            <v>0</v>
          </cell>
          <cell r="O190">
            <v>0</v>
          </cell>
          <cell r="P190">
            <v>0.8</v>
          </cell>
          <cell r="Q190">
            <v>0</v>
          </cell>
          <cell r="R190" t="e">
            <v>#DIV/0!</v>
          </cell>
          <cell r="S190">
            <v>0</v>
          </cell>
          <cell r="T190">
            <v>1552</v>
          </cell>
          <cell r="U190" t="e">
            <v>#DIV/0!</v>
          </cell>
          <cell r="V190" t="e">
            <v>#DIV/0!</v>
          </cell>
          <cell r="W190">
            <v>0</v>
          </cell>
          <cell r="X190">
            <v>0</v>
          </cell>
          <cell r="Y190">
            <v>0</v>
          </cell>
          <cell r="Z190" t="str">
            <v/>
          </cell>
          <cell r="AA190" t="str">
            <v/>
          </cell>
          <cell r="AB190" t="e">
            <v>#VALUE!</v>
          </cell>
          <cell r="AC190">
            <v>0</v>
          </cell>
          <cell r="AD190" t="str">
            <v>Не рассчитывалась</v>
          </cell>
          <cell r="AE190" t="str">
            <v>Не рассчитывалась</v>
          </cell>
          <cell r="AF190" t="e">
            <v>#VALUE!</v>
          </cell>
          <cell r="AG190">
            <v>0</v>
          </cell>
          <cell r="AH190" t="str">
            <v>не будет использоваться</v>
          </cell>
          <cell r="AI190">
            <v>0</v>
          </cell>
          <cell r="AL190">
            <v>0</v>
          </cell>
          <cell r="AM190" t="str">
            <v>Не рассчитывалась</v>
          </cell>
        </row>
        <row r="191">
          <cell r="A191">
            <v>255</v>
          </cell>
          <cell r="B191">
            <v>615</v>
          </cell>
          <cell r="C191" t="str">
            <v>Корыто из труб</v>
          </cell>
          <cell r="D191">
            <v>31396</v>
          </cell>
          <cell r="E191">
            <v>31396</v>
          </cell>
          <cell r="F191">
            <v>8418</v>
          </cell>
          <cell r="G191">
            <v>13.261762999999998</v>
          </cell>
          <cell r="H191">
            <v>111637.52093399999</v>
          </cell>
          <cell r="I191">
            <v>30.063013698630137</v>
          </cell>
          <cell r="J191" t="str">
            <v>сталь</v>
          </cell>
          <cell r="K191">
            <v>0</v>
          </cell>
          <cell r="L191">
            <v>10</v>
          </cell>
          <cell r="M191">
            <v>0.8</v>
          </cell>
          <cell r="N191">
            <v>0</v>
          </cell>
          <cell r="O191">
            <v>0</v>
          </cell>
          <cell r="P191">
            <v>0.8</v>
          </cell>
          <cell r="Q191">
            <v>0</v>
          </cell>
          <cell r="R191" t="e">
            <v>#DIV/0!</v>
          </cell>
          <cell r="S191">
            <v>0</v>
          </cell>
          <cell r="T191">
            <v>22328</v>
          </cell>
          <cell r="U191" t="e">
            <v>#DIV/0!</v>
          </cell>
          <cell r="V191" t="e">
            <v>#DIV/0!</v>
          </cell>
          <cell r="W191">
            <v>0</v>
          </cell>
          <cell r="X191">
            <v>0</v>
          </cell>
          <cell r="Y191">
            <v>0</v>
          </cell>
          <cell r="Z191" t="str">
            <v/>
          </cell>
          <cell r="AA191" t="str">
            <v/>
          </cell>
          <cell r="AB191" t="e">
            <v>#VALUE!</v>
          </cell>
          <cell r="AC191">
            <v>0</v>
          </cell>
          <cell r="AD191" t="str">
            <v>Не рассчитывалась</v>
          </cell>
          <cell r="AE191" t="str">
            <v>Не рассчитывалась</v>
          </cell>
          <cell r="AF191" t="e">
            <v>#VALUE!</v>
          </cell>
          <cell r="AG191">
            <v>0</v>
          </cell>
          <cell r="AH191" t="str">
            <v>не будет использоваться</v>
          </cell>
          <cell r="AI191">
            <v>0</v>
          </cell>
          <cell r="AL191">
            <v>0</v>
          </cell>
          <cell r="AM191" t="str">
            <v>Не рассчитывалась</v>
          </cell>
        </row>
        <row r="192">
          <cell r="A192">
            <v>256</v>
          </cell>
          <cell r="B192">
            <v>2676</v>
          </cell>
          <cell r="C192" t="str">
            <v>Котельная при гостинице   86 "а" Об.пл. 100 кв.м.  Литер Б Инв№ 23:11:0603308:96</v>
          </cell>
          <cell r="D192">
            <v>26282</v>
          </cell>
          <cell r="E192">
            <v>26282</v>
          </cell>
          <cell r="F192">
            <v>27430</v>
          </cell>
          <cell r="G192">
            <v>13.261762999999998</v>
          </cell>
          <cell r="H192">
            <v>363770.15908999997</v>
          </cell>
          <cell r="I192">
            <v>44.073972602739723</v>
          </cell>
          <cell r="J192" t="str">
            <v>бутовые</v>
          </cell>
          <cell r="K192">
            <v>0</v>
          </cell>
          <cell r="L192">
            <v>60</v>
          </cell>
          <cell r="M192">
            <v>0.73456621004566203</v>
          </cell>
          <cell r="N192">
            <v>0</v>
          </cell>
          <cell r="O192">
            <v>0</v>
          </cell>
          <cell r="P192">
            <v>0.73456621004566203</v>
          </cell>
          <cell r="Q192">
            <v>0</v>
          </cell>
          <cell r="R192">
            <v>0</v>
          </cell>
          <cell r="S192" t="str">
            <v>Не соответствует</v>
          </cell>
          <cell r="T192">
            <v>96557</v>
          </cell>
          <cell r="U192">
            <v>965.57</v>
          </cell>
          <cell r="V192" t="e">
            <v>#DIV/0!</v>
          </cell>
          <cell r="W192" t="str">
            <v>Не соответствует</v>
          </cell>
          <cell r="X192" t="str">
            <v>отличное</v>
          </cell>
          <cell r="Y192">
            <v>0.1</v>
          </cell>
          <cell r="Z192">
            <v>327393.14318099996</v>
          </cell>
          <cell r="AA192">
            <v>3273.9314318099996</v>
          </cell>
          <cell r="AB192" t="e">
            <v>#DIV/0!</v>
          </cell>
          <cell r="AC192" t="str">
            <v>Соответствует</v>
          </cell>
          <cell r="AD192" t="str">
            <v>Не рассчитывалась</v>
          </cell>
          <cell r="AE192" t="str">
            <v>Не рассчитывалась</v>
          </cell>
          <cell r="AF192" t="e">
            <v>#VALUE!</v>
          </cell>
          <cell r="AG192">
            <v>100</v>
          </cell>
          <cell r="AH192" t="str">
            <v>будет использоваться</v>
          </cell>
          <cell r="AI192">
            <v>0</v>
          </cell>
          <cell r="AL192">
            <v>327393.14318099996</v>
          </cell>
          <cell r="AM192" t="str">
            <v>Экспертно</v>
          </cell>
        </row>
        <row r="193">
          <cell r="A193">
            <v>258</v>
          </cell>
          <cell r="B193" t="str">
            <v>Р00008269</v>
          </cell>
          <cell r="C193" t="str">
            <v>Лагуна  (Навозохранилище (1)МТФ№3)   Об 4500 куб.м.    Кад.№ 23:11:0702000:854</v>
          </cell>
          <cell r="D193">
            <v>40381</v>
          </cell>
          <cell r="E193">
            <v>40381</v>
          </cell>
          <cell r="F193">
            <v>2825669.26</v>
          </cell>
          <cell r="G193">
            <v>1.4577409162717219</v>
          </cell>
          <cell r="H193">
            <v>4119093.696153238</v>
          </cell>
          <cell r="I193">
            <v>5.4465753424657537</v>
          </cell>
          <cell r="J193" t="str">
            <v>железо-бетон</v>
          </cell>
          <cell r="K193">
            <v>0</v>
          </cell>
          <cell r="L193">
            <v>45</v>
          </cell>
          <cell r="M193">
            <v>0.12103500761035008</v>
          </cell>
          <cell r="N193">
            <v>0</v>
          </cell>
          <cell r="O193">
            <v>0</v>
          </cell>
          <cell r="P193">
            <v>0.12103500761035013</v>
          </cell>
          <cell r="Q193">
            <v>1810926.3099999998</v>
          </cell>
          <cell r="R193" t="e">
            <v>#VALUE!</v>
          </cell>
          <cell r="S193" t="str">
            <v>Не соответствует</v>
          </cell>
          <cell r="T193">
            <v>3620539</v>
          </cell>
          <cell r="U193" t="e">
            <v>#VALUE!</v>
          </cell>
          <cell r="V193">
            <v>1.9992746143270734</v>
          </cell>
          <cell r="W193" t="str">
            <v>Соответствует</v>
          </cell>
          <cell r="X193">
            <v>0</v>
          </cell>
          <cell r="Y193">
            <v>0</v>
          </cell>
          <cell r="Z193" t="str">
            <v/>
          </cell>
          <cell r="AA193" t="str">
            <v/>
          </cell>
          <cell r="AB193" t="e">
            <v>#VALUE!</v>
          </cell>
          <cell r="AC193" t="str">
            <v>Не рассчитывалась</v>
          </cell>
          <cell r="AD193">
            <v>11354619</v>
          </cell>
          <cell r="AE193">
            <v>10092.994666666667</v>
          </cell>
          <cell r="AF193">
            <v>6.2700613146428923</v>
          </cell>
          <cell r="AG193" t="str">
            <v>4500 куб.м.</v>
          </cell>
          <cell r="AH193">
            <v>0</v>
          </cell>
          <cell r="AI193">
            <v>0</v>
          </cell>
          <cell r="AJ193" t="str">
            <v>Фото не предоставлено. Стоимость только разработки котлована под навозохранилища в Краснодарском крае составляет до 350 руб./куб. м (http://krasnodar.flagma.ru/razrabotka-kotlovana-navozohranilicshe-o1763958.html). Таким образом, стоимость 804 руб./куб. м является адекватной.</v>
          </cell>
          <cell r="AL193">
            <v>3620539</v>
          </cell>
          <cell r="AM193" t="str">
            <v>По сроку службы</v>
          </cell>
        </row>
        <row r="194">
          <cell r="A194">
            <v>259</v>
          </cell>
          <cell r="B194" t="str">
            <v>Р00008447</v>
          </cell>
          <cell r="C194" t="str">
            <v>Лагуна МТФ№5 Литер :Л Об.пл. 2653 кв.м. кад№ 23:11:0702000:776</v>
          </cell>
          <cell r="D194">
            <v>40599</v>
          </cell>
          <cell r="E194">
            <v>40599</v>
          </cell>
          <cell r="F194">
            <v>2559566.2000000002</v>
          </cell>
          <cell r="G194">
            <v>1.4002276176024278</v>
          </cell>
          <cell r="H194">
            <v>3583975.2823216994</v>
          </cell>
          <cell r="I194">
            <v>4.8493150684931505</v>
          </cell>
          <cell r="J194" t="str">
            <v>железо-бетон</v>
          </cell>
          <cell r="K194">
            <v>0</v>
          </cell>
          <cell r="L194">
            <v>45</v>
          </cell>
          <cell r="M194">
            <v>0.10776255707762557</v>
          </cell>
          <cell r="N194">
            <v>0</v>
          </cell>
          <cell r="O194">
            <v>0</v>
          </cell>
          <cell r="P194">
            <v>0.10776255707762561</v>
          </cell>
          <cell r="Q194">
            <v>1739373.7000000002</v>
          </cell>
          <cell r="R194" t="e">
            <v>#VALUE!</v>
          </cell>
          <cell r="S194" t="str">
            <v>Не соответствует</v>
          </cell>
          <cell r="T194">
            <v>3197757</v>
          </cell>
          <cell r="U194" t="e">
            <v>#VALUE!</v>
          </cell>
          <cell r="V194">
            <v>1.8384531167741582</v>
          </cell>
          <cell r="W194" t="str">
            <v>Соответствует</v>
          </cell>
          <cell r="X194">
            <v>0</v>
          </cell>
          <cell r="Y194">
            <v>0</v>
          </cell>
          <cell r="Z194" t="str">
            <v/>
          </cell>
          <cell r="AA194" t="str">
            <v/>
          </cell>
          <cell r="AB194" t="e">
            <v>#VALUE!</v>
          </cell>
          <cell r="AC194" t="str">
            <v>Не рассчитывалась</v>
          </cell>
          <cell r="AD194" t="str">
            <v>Не рассчитывалась</v>
          </cell>
          <cell r="AE194" t="str">
            <v>Не рассчитывалась</v>
          </cell>
          <cell r="AF194" t="e">
            <v>#VALUE!</v>
          </cell>
          <cell r="AG194" t="str">
            <v>2653 куб.м.</v>
          </cell>
          <cell r="AH194">
            <v>0</v>
          </cell>
          <cell r="AI194">
            <v>0</v>
          </cell>
          <cell r="AJ194" t="str">
            <v>Фото не предоставлено. Стоимость только разработки котлована под навозохранилища в Краснодарском крае составляет до 350 руб./куб. м (http://krasnodar.flagma.ru/razrabotka-kotlovana-navozohranilicshe-o1763958.html). Таким образом, стоимость 1205 руб./куб. м является адекватной.</v>
          </cell>
          <cell r="AL194">
            <v>3197757</v>
          </cell>
          <cell r="AM194" t="str">
            <v>По сроку службы</v>
          </cell>
        </row>
        <row r="195">
          <cell r="A195">
            <v>260</v>
          </cell>
          <cell r="B195" t="str">
            <v>Ц00003201</v>
          </cell>
          <cell r="C195" t="str">
            <v>Летние базы-3шт (литер Т,У,Ф S=512.4)  (НП МТФ№3)</v>
          </cell>
          <cell r="D195">
            <v>41913</v>
          </cell>
          <cell r="E195">
            <v>41913</v>
          </cell>
          <cell r="F195">
            <v>33991.18</v>
          </cell>
          <cell r="G195">
            <v>0.98663458968190321</v>
          </cell>
          <cell r="H195">
            <v>33536.873932103714</v>
          </cell>
          <cell r="I195">
            <v>1.2493150684931507</v>
          </cell>
          <cell r="J195" t="str">
            <v>металл</v>
          </cell>
          <cell r="K195">
            <v>0</v>
          </cell>
          <cell r="L195">
            <v>35</v>
          </cell>
          <cell r="M195">
            <v>3.5694716242661448E-2</v>
          </cell>
          <cell r="N195">
            <v>0</v>
          </cell>
          <cell r="O195">
            <v>0</v>
          </cell>
          <cell r="P195">
            <v>3.5694716242661406E-2</v>
          </cell>
          <cell r="Q195">
            <v>21129.66</v>
          </cell>
          <cell r="R195">
            <v>41.2688671875</v>
          </cell>
          <cell r="S195" t="str">
            <v>Соответствует</v>
          </cell>
          <cell r="T195">
            <v>32340</v>
          </cell>
          <cell r="U195">
            <v>63.1640625</v>
          </cell>
          <cell r="V195">
            <v>1.5305499473252291</v>
          </cell>
          <cell r="W195" t="str">
            <v>Соответствует</v>
          </cell>
          <cell r="X195">
            <v>0</v>
          </cell>
          <cell r="Y195">
            <v>0</v>
          </cell>
          <cell r="Z195" t="str">
            <v/>
          </cell>
          <cell r="AA195" t="str">
            <v/>
          </cell>
          <cell r="AB195" t="e">
            <v>#VALUE!</v>
          </cell>
          <cell r="AC195" t="str">
            <v>Не рассчитывалась</v>
          </cell>
          <cell r="AD195" t="str">
            <v>Не рассчитывалась</v>
          </cell>
          <cell r="AE195" t="str">
            <v>Не рассчитывалась</v>
          </cell>
          <cell r="AF195" t="e">
            <v>#VALUE!</v>
          </cell>
          <cell r="AG195">
            <v>512</v>
          </cell>
          <cell r="AH195">
            <v>0</v>
          </cell>
          <cell r="AI195">
            <v>0</v>
          </cell>
          <cell r="AL195">
            <v>32340</v>
          </cell>
          <cell r="AM195" t="str">
            <v>По сроку службы</v>
          </cell>
        </row>
        <row r="196">
          <cell r="A196">
            <v>261</v>
          </cell>
          <cell r="B196" t="str">
            <v>Ц00003202</v>
          </cell>
          <cell r="C196" t="str">
            <v>Летняя кормовая площадка  (НП МТФ№3)</v>
          </cell>
          <cell r="D196">
            <v>41913</v>
          </cell>
          <cell r="E196">
            <v>41913</v>
          </cell>
          <cell r="F196">
            <v>53942.81</v>
          </cell>
          <cell r="G196">
            <v>0.98663458968190321</v>
          </cell>
          <cell r="H196">
            <v>53221.842210638861</v>
          </cell>
          <cell r="I196">
            <v>1.2493150684931507</v>
          </cell>
          <cell r="J196" t="str">
            <v>бетон</v>
          </cell>
          <cell r="K196">
            <v>0</v>
          </cell>
          <cell r="L196">
            <v>20</v>
          </cell>
          <cell r="M196">
            <v>6.246575342465753E-2</v>
          </cell>
          <cell r="N196">
            <v>0</v>
          </cell>
          <cell r="O196">
            <v>0</v>
          </cell>
          <cell r="P196">
            <v>6.2465753424657544E-2</v>
          </cell>
          <cell r="Q196">
            <v>33532.069999999992</v>
          </cell>
          <cell r="R196">
            <v>111.77356666666664</v>
          </cell>
          <cell r="S196" t="str">
            <v>Соответствует</v>
          </cell>
          <cell r="T196">
            <v>49897</v>
          </cell>
          <cell r="U196">
            <v>166.32333333333332</v>
          </cell>
          <cell r="V196">
            <v>1.4880381676407097</v>
          </cell>
          <cell r="W196" t="str">
            <v>Соответствует</v>
          </cell>
          <cell r="X196">
            <v>0</v>
          </cell>
          <cell r="Y196">
            <v>0</v>
          </cell>
          <cell r="Z196" t="str">
            <v/>
          </cell>
          <cell r="AA196" t="str">
            <v/>
          </cell>
          <cell r="AB196" t="e">
            <v>#VALUE!</v>
          </cell>
          <cell r="AC196" t="str">
            <v>Не рассчитывалась</v>
          </cell>
          <cell r="AD196" t="str">
            <v>Не рассчитывалась</v>
          </cell>
          <cell r="AE196" t="str">
            <v>Не рассчитывалась</v>
          </cell>
          <cell r="AF196" t="e">
            <v>#VALUE!</v>
          </cell>
          <cell r="AG196">
            <v>300</v>
          </cell>
          <cell r="AH196">
            <v>0</v>
          </cell>
          <cell r="AI196">
            <v>0</v>
          </cell>
          <cell r="AL196">
            <v>49897</v>
          </cell>
          <cell r="AM196" t="str">
            <v>По сроку службы</v>
          </cell>
        </row>
        <row r="197">
          <cell r="A197">
            <v>262</v>
          </cell>
          <cell r="B197">
            <v>531</v>
          </cell>
          <cell r="C197" t="str">
            <v>Мельница №2    268 СТФ</v>
          </cell>
          <cell r="D197">
            <v>35779</v>
          </cell>
          <cell r="E197">
            <v>35779</v>
          </cell>
          <cell r="F197">
            <v>840999.34</v>
          </cell>
          <cell r="G197">
            <v>13.261762999999998</v>
          </cell>
          <cell r="H197">
            <v>11153133.930236418</v>
          </cell>
          <cell r="I197">
            <v>18.054794520547944</v>
          </cell>
          <cell r="J197" t="str">
            <v>Камень</v>
          </cell>
          <cell r="K197">
            <v>0</v>
          </cell>
          <cell r="L197">
            <v>60</v>
          </cell>
          <cell r="M197">
            <v>0.30091324200913239</v>
          </cell>
          <cell r="N197">
            <v>0</v>
          </cell>
          <cell r="O197">
            <v>0</v>
          </cell>
          <cell r="P197">
            <v>0.30091324200913239</v>
          </cell>
          <cell r="Q197">
            <v>525625.78</v>
          </cell>
          <cell r="R197">
            <v>2695.5168205128207</v>
          </cell>
          <cell r="S197">
            <v>0</v>
          </cell>
          <cell r="T197">
            <v>7797008</v>
          </cell>
          <cell r="U197">
            <v>39984.656410256408</v>
          </cell>
          <cell r="V197">
            <v>14.83376252968414</v>
          </cell>
          <cell r="W197">
            <v>0</v>
          </cell>
          <cell r="X197">
            <v>0</v>
          </cell>
          <cell r="Y197">
            <v>0</v>
          </cell>
          <cell r="Z197" t="str">
            <v/>
          </cell>
          <cell r="AA197" t="str">
            <v/>
          </cell>
          <cell r="AB197" t="e">
            <v>#VALUE!</v>
          </cell>
          <cell r="AC197">
            <v>0</v>
          </cell>
          <cell r="AD197" t="str">
            <v>Не рассчитывалась</v>
          </cell>
          <cell r="AE197" t="str">
            <v>Не рассчитывалась</v>
          </cell>
          <cell r="AF197" t="e">
            <v>#VALUE!</v>
          </cell>
          <cell r="AG197">
            <v>195</v>
          </cell>
          <cell r="AH197" t="str">
            <v>не будет использоваться</v>
          </cell>
          <cell r="AI197" t="str">
            <v>возможно с оборудованием?</v>
          </cell>
          <cell r="AL197">
            <v>0</v>
          </cell>
          <cell r="AM197" t="str">
            <v>Не рассчитывалась</v>
          </cell>
        </row>
        <row r="198">
          <cell r="A198">
            <v>263</v>
          </cell>
          <cell r="B198">
            <v>594</v>
          </cell>
          <cell r="C198" t="str">
            <v>Мех,ток "Алмаз" (273)</v>
          </cell>
          <cell r="D198">
            <v>30665</v>
          </cell>
          <cell r="E198">
            <v>30665</v>
          </cell>
          <cell r="F198">
            <v>809935.17</v>
          </cell>
          <cell r="G198">
            <v>13.261762999999998</v>
          </cell>
          <cell r="H198">
            <v>403954.67</v>
          </cell>
          <cell r="I198">
            <v>32.065753424657537</v>
          </cell>
          <cell r="J198" t="str">
            <v>Металл</v>
          </cell>
          <cell r="K198">
            <v>0</v>
          </cell>
          <cell r="L198">
            <v>35</v>
          </cell>
          <cell r="M198">
            <v>0.8</v>
          </cell>
          <cell r="N198">
            <v>0</v>
          </cell>
          <cell r="O198">
            <v>0</v>
          </cell>
          <cell r="P198">
            <v>0.8</v>
          </cell>
          <cell r="Q198">
            <v>154967.57000000007</v>
          </cell>
          <cell r="R198">
            <v>1549.6757000000007</v>
          </cell>
          <cell r="S198" t="str">
            <v>Не соответствует</v>
          </cell>
          <cell r="T198">
            <v>80791</v>
          </cell>
          <cell r="U198">
            <v>807.91</v>
          </cell>
          <cell r="V198">
            <v>0.52134133612600342</v>
          </cell>
          <cell r="W198" t="str">
            <v>Соответствует</v>
          </cell>
          <cell r="X198">
            <v>0</v>
          </cell>
          <cell r="Y198">
            <v>0</v>
          </cell>
          <cell r="Z198" t="str">
            <v/>
          </cell>
          <cell r="AA198" t="str">
            <v/>
          </cell>
          <cell r="AB198" t="e">
            <v>#VALUE!</v>
          </cell>
          <cell r="AC198" t="str">
            <v>Не соответствует</v>
          </cell>
          <cell r="AD198" t="str">
            <v>Не рассчитывалась</v>
          </cell>
          <cell r="AE198" t="str">
            <v>Не рассчитывалась</v>
          </cell>
          <cell r="AF198" t="e">
            <v>#VALUE!</v>
          </cell>
          <cell r="AG198">
            <v>100</v>
          </cell>
          <cell r="AH198" t="str">
            <v>будет использоваться</v>
          </cell>
          <cell r="AI198" t="str">
            <v>Это механизированный зерноочистительный комплекс</v>
          </cell>
          <cell r="AJ198" t="str">
            <v>Фото не предоставлено. Уточнить физическое состояние.</v>
          </cell>
          <cell r="AL198">
            <v>80791</v>
          </cell>
          <cell r="AM198" t="str">
            <v>По сроку службы</v>
          </cell>
        </row>
        <row r="199">
          <cell r="A199">
            <v>264</v>
          </cell>
          <cell r="B199">
            <v>606</v>
          </cell>
          <cell r="C199" t="str">
            <v>Мехток БИС -100 (416) бр 4</v>
          </cell>
          <cell r="D199">
            <v>37970</v>
          </cell>
          <cell r="E199">
            <v>37970</v>
          </cell>
          <cell r="F199">
            <v>2173536.6800000002</v>
          </cell>
          <cell r="G199">
            <v>3.9624261943102521</v>
          </cell>
          <cell r="H199">
            <v>539333.32999999996</v>
          </cell>
          <cell r="I199">
            <v>12.052054794520547</v>
          </cell>
          <cell r="J199" t="str">
            <v>Металл</v>
          </cell>
          <cell r="K199">
            <v>0</v>
          </cell>
          <cell r="L199">
            <v>35</v>
          </cell>
          <cell r="M199">
            <v>0.34434442270058707</v>
          </cell>
          <cell r="N199">
            <v>0</v>
          </cell>
          <cell r="O199">
            <v>0</v>
          </cell>
          <cell r="P199">
            <v>0.34434442270058707</v>
          </cell>
          <cell r="Q199">
            <v>1100046.9200000002</v>
          </cell>
          <cell r="R199">
            <v>11000.469200000001</v>
          </cell>
          <cell r="S199" t="str">
            <v>Не соответствует</v>
          </cell>
          <cell r="T199">
            <v>353617</v>
          </cell>
          <cell r="U199">
            <v>3536.17</v>
          </cell>
          <cell r="V199">
            <v>0.32145628842813356</v>
          </cell>
          <cell r="W199" t="str">
            <v>Соответствует</v>
          </cell>
          <cell r="X199">
            <v>0</v>
          </cell>
          <cell r="Y199">
            <v>0</v>
          </cell>
          <cell r="Z199" t="str">
            <v/>
          </cell>
          <cell r="AA199" t="str">
            <v/>
          </cell>
          <cell r="AB199" t="e">
            <v>#VALUE!</v>
          </cell>
          <cell r="AC199" t="str">
            <v>Не соответствует</v>
          </cell>
          <cell r="AD199" t="str">
            <v>Не рассчитывалась</v>
          </cell>
          <cell r="AE199" t="str">
            <v>Не рассчитывалась</v>
          </cell>
          <cell r="AF199" t="e">
            <v>#VALUE!</v>
          </cell>
          <cell r="AG199">
            <v>100</v>
          </cell>
          <cell r="AH199" t="str">
            <v>будет использоваться</v>
          </cell>
          <cell r="AI199" t="str">
            <v>Это механизированный зерноочистительный комплекс</v>
          </cell>
          <cell r="AJ199" t="str">
            <v>Фото не предоставлено. Уточнить физическое состояние.</v>
          </cell>
          <cell r="AL199">
            <v>353617</v>
          </cell>
          <cell r="AM199" t="str">
            <v>По сроку службы</v>
          </cell>
        </row>
        <row r="200">
          <cell r="A200">
            <v>265</v>
          </cell>
          <cell r="B200">
            <v>398</v>
          </cell>
          <cell r="C200" t="str">
            <v>Мойка для а/машин (420) АТП</v>
          </cell>
          <cell r="D200">
            <v>26282</v>
          </cell>
          <cell r="E200">
            <v>26282</v>
          </cell>
          <cell r="F200">
            <v>8918</v>
          </cell>
          <cell r="G200">
            <v>13.261762999999998</v>
          </cell>
          <cell r="H200">
            <v>118268.40243399999</v>
          </cell>
          <cell r="I200">
            <v>44.073972602739723</v>
          </cell>
          <cell r="J200" t="str">
            <v>камень</v>
          </cell>
          <cell r="K200">
            <v>0</v>
          </cell>
          <cell r="L200">
            <v>60</v>
          </cell>
          <cell r="M200">
            <v>0.73456621004566203</v>
          </cell>
          <cell r="N200">
            <v>0</v>
          </cell>
          <cell r="O200">
            <v>0</v>
          </cell>
          <cell r="P200">
            <v>0.73456621004566203</v>
          </cell>
          <cell r="Q200">
            <v>0</v>
          </cell>
          <cell r="R200">
            <v>0</v>
          </cell>
          <cell r="S200" t="str">
            <v>Не соответствует</v>
          </cell>
          <cell r="T200">
            <v>31392</v>
          </cell>
          <cell r="U200">
            <v>6278.4</v>
          </cell>
          <cell r="V200" t="e">
            <v>#DIV/0!</v>
          </cell>
          <cell r="W200" t="str">
            <v>Соответствует</v>
          </cell>
          <cell r="X200">
            <v>0</v>
          </cell>
          <cell r="Y200">
            <v>0</v>
          </cell>
          <cell r="Z200" t="str">
            <v/>
          </cell>
          <cell r="AA200" t="str">
            <v/>
          </cell>
          <cell r="AB200" t="e">
            <v>#VALUE!</v>
          </cell>
          <cell r="AC200" t="str">
            <v>Не соответствует</v>
          </cell>
          <cell r="AD200" t="str">
            <v>Не рассчитывалась</v>
          </cell>
          <cell r="AE200" t="str">
            <v>Не рассчитывалась</v>
          </cell>
          <cell r="AF200" t="e">
            <v>#VALUE!</v>
          </cell>
          <cell r="AG200">
            <v>5</v>
          </cell>
          <cell r="AH200" t="str">
            <v>будет использоваться</v>
          </cell>
          <cell r="AI200">
            <v>0</v>
          </cell>
          <cell r="AJ200" t="str">
            <v>Фото не предоставлено. Уточнить наличие оборудования и физическое состояние. Чем обусловлена столь низкая балансовая стоимость 8 тыс. руб. за капитальную автомойку?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K200">
            <v>1</v>
          </cell>
          <cell r="AL200">
            <v>31392</v>
          </cell>
          <cell r="AM200" t="str">
            <v>По сроку службы</v>
          </cell>
        </row>
        <row r="201">
          <cell r="A201">
            <v>266</v>
          </cell>
          <cell r="B201">
            <v>408</v>
          </cell>
          <cell r="C201" t="str">
            <v>Навес весовой (199) ЦЗС   Литер з; з1</v>
          </cell>
          <cell r="D201">
            <v>22995</v>
          </cell>
          <cell r="E201">
            <v>22995</v>
          </cell>
          <cell r="F201">
            <v>1652</v>
          </cell>
          <cell r="G201">
            <v>13.261762999999998</v>
          </cell>
          <cell r="H201">
            <v>21908.432475999998</v>
          </cell>
          <cell r="I201">
            <v>53.079452054794523</v>
          </cell>
          <cell r="J201" t="str">
            <v>Камень</v>
          </cell>
          <cell r="K201">
            <v>0</v>
          </cell>
          <cell r="L201">
            <v>60</v>
          </cell>
          <cell r="M201">
            <v>0.8</v>
          </cell>
          <cell r="N201">
            <v>0</v>
          </cell>
          <cell r="O201">
            <v>0</v>
          </cell>
          <cell r="P201">
            <v>0.8</v>
          </cell>
          <cell r="Q201">
            <v>0</v>
          </cell>
          <cell r="R201">
            <v>0</v>
          </cell>
          <cell r="S201">
            <v>0</v>
          </cell>
          <cell r="T201">
            <v>4382</v>
          </cell>
          <cell r="U201">
            <v>219.1</v>
          </cell>
          <cell r="V201" t="e">
            <v>#DIV/0!</v>
          </cell>
          <cell r="W201">
            <v>0</v>
          </cell>
          <cell r="X201">
            <v>0</v>
          </cell>
          <cell r="Y201">
            <v>0</v>
          </cell>
          <cell r="Z201" t="str">
            <v/>
          </cell>
          <cell r="AA201" t="str">
            <v/>
          </cell>
          <cell r="AB201" t="e">
            <v>#VALUE!</v>
          </cell>
          <cell r="AC201">
            <v>0</v>
          </cell>
          <cell r="AD201" t="str">
            <v>Не рассчитывалась</v>
          </cell>
          <cell r="AE201" t="str">
            <v>Не рассчитывалась</v>
          </cell>
          <cell r="AF201" t="e">
            <v>#VALUE!</v>
          </cell>
          <cell r="AG201">
            <v>20</v>
          </cell>
          <cell r="AH201" t="str">
            <v>не будет использоваться</v>
          </cell>
          <cell r="AI201">
            <v>0</v>
          </cell>
          <cell r="AL201">
            <v>0</v>
          </cell>
          <cell r="AM201" t="str">
            <v>Не рассчитывалась</v>
          </cell>
        </row>
        <row r="202">
          <cell r="A202">
            <v>267</v>
          </cell>
          <cell r="B202" t="str">
            <v>Ц00003766</v>
          </cell>
          <cell r="C202" t="str">
            <v>Навес для металла</v>
          </cell>
          <cell r="D202">
            <v>42003</v>
          </cell>
          <cell r="E202">
            <v>42003</v>
          </cell>
          <cell r="F202">
            <v>51140.08</v>
          </cell>
          <cell r="G202">
            <v>0.98663458968190321</v>
          </cell>
          <cell r="H202">
            <v>50456.571847099709</v>
          </cell>
          <cell r="I202">
            <v>1.0027397260273974</v>
          </cell>
          <cell r="J202" t="str">
            <v>Металл</v>
          </cell>
          <cell r="K202">
            <v>0</v>
          </cell>
          <cell r="L202">
            <v>35</v>
          </cell>
          <cell r="M202">
            <v>2.8649706457925639E-2</v>
          </cell>
          <cell r="N202">
            <v>0</v>
          </cell>
          <cell r="O202">
            <v>0</v>
          </cell>
          <cell r="P202">
            <v>2.8649706457925639E-2</v>
          </cell>
          <cell r="Q202">
            <v>47749.599999999999</v>
          </cell>
          <cell r="R202">
            <v>341.06857142857143</v>
          </cell>
          <cell r="S202" t="str">
            <v>Соответствует</v>
          </cell>
          <cell r="T202">
            <v>49011</v>
          </cell>
          <cell r="U202">
            <v>350.07857142857142</v>
          </cell>
          <cell r="V202">
            <v>1.0264169752207348</v>
          </cell>
          <cell r="W202" t="str">
            <v>Соответствует</v>
          </cell>
          <cell r="X202">
            <v>0</v>
          </cell>
          <cell r="Y202">
            <v>0</v>
          </cell>
          <cell r="Z202" t="str">
            <v/>
          </cell>
          <cell r="AA202" t="str">
            <v/>
          </cell>
          <cell r="AB202" t="e">
            <v>#VALUE!</v>
          </cell>
          <cell r="AC202" t="str">
            <v>Не рассчитывалась</v>
          </cell>
          <cell r="AD202" t="str">
            <v>Не рассчитывалась</v>
          </cell>
          <cell r="AE202" t="str">
            <v>Не рассчитывалась</v>
          </cell>
          <cell r="AF202" t="e">
            <v>#VALUE!</v>
          </cell>
          <cell r="AG202">
            <v>140</v>
          </cell>
          <cell r="AH202">
            <v>0</v>
          </cell>
          <cell r="AI202">
            <v>0</v>
          </cell>
          <cell r="AJ202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02">
            <v>49011</v>
          </cell>
          <cell r="AM202" t="str">
            <v>По сроку службы</v>
          </cell>
        </row>
        <row r="203">
          <cell r="A203">
            <v>268</v>
          </cell>
          <cell r="B203" t="str">
            <v>Ц00003378</v>
          </cell>
          <cell r="C203" t="str">
            <v>Навес для хранения зерна бр№1 (КС МТФ№1)</v>
          </cell>
          <cell r="D203">
            <v>41913</v>
          </cell>
          <cell r="E203">
            <v>41913</v>
          </cell>
          <cell r="F203">
            <v>25490.22</v>
          </cell>
          <cell r="G203">
            <v>0.98663458968190321</v>
          </cell>
          <cell r="H203">
            <v>25149.532750601444</v>
          </cell>
          <cell r="I203">
            <v>1.2493150684931507</v>
          </cell>
          <cell r="J203" t="str">
            <v>Металл</v>
          </cell>
          <cell r="K203">
            <v>0</v>
          </cell>
          <cell r="L203">
            <v>35</v>
          </cell>
          <cell r="M203">
            <v>3.5694716242661448E-2</v>
          </cell>
          <cell r="N203">
            <v>0</v>
          </cell>
          <cell r="O203">
            <v>0</v>
          </cell>
          <cell r="P203">
            <v>3.5694716242661406E-2</v>
          </cell>
          <cell r="Q203">
            <v>21291.9</v>
          </cell>
          <cell r="R203">
            <v>44.358125000000001</v>
          </cell>
          <cell r="S203" t="str">
            <v>Соответствует</v>
          </cell>
          <cell r="T203">
            <v>24252</v>
          </cell>
          <cell r="U203">
            <v>50.524999999999999</v>
          </cell>
          <cell r="V203">
            <v>1.1390246995336253</v>
          </cell>
          <cell r="W203" t="str">
            <v>Соответствует</v>
          </cell>
          <cell r="X203">
            <v>0</v>
          </cell>
          <cell r="Y203">
            <v>0</v>
          </cell>
          <cell r="Z203" t="str">
            <v/>
          </cell>
          <cell r="AA203" t="str">
            <v/>
          </cell>
          <cell r="AB203" t="e">
            <v>#VALUE!</v>
          </cell>
          <cell r="AC203" t="str">
            <v>Не рассчитывалась</v>
          </cell>
          <cell r="AD203" t="str">
            <v>Не рассчитывалась</v>
          </cell>
          <cell r="AE203" t="str">
            <v>Не рассчитывалась</v>
          </cell>
          <cell r="AF203" t="e">
            <v>#VALUE!</v>
          </cell>
          <cell r="AG203">
            <v>480</v>
          </cell>
          <cell r="AH203">
            <v>0</v>
          </cell>
          <cell r="AI203" t="str">
            <v>Уточнить состояние по фото</v>
          </cell>
          <cell r="AJ203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03">
            <v>24252</v>
          </cell>
          <cell r="AM203" t="str">
            <v>По сроку службы</v>
          </cell>
        </row>
        <row r="204">
          <cell r="A204">
            <v>270</v>
          </cell>
          <cell r="B204" t="str">
            <v>Ц00002387</v>
          </cell>
          <cell r="C204" t="str">
            <v>Навозохранилище №1 об.пл.-1357,2кв.м. Об.3257,28 куб.м. Кад№ 23:24:0701000:805 Лит Ф  (НП  МТФ№2)</v>
          </cell>
          <cell r="D204">
            <v>41935</v>
          </cell>
          <cell r="E204">
            <v>41935</v>
          </cell>
          <cell r="F204">
            <v>2304321.84</v>
          </cell>
          <cell r="G204">
            <v>0.98663458968190321</v>
          </cell>
          <cell r="H204">
            <v>2273523.633103448</v>
          </cell>
          <cell r="I204">
            <v>1.189041095890411</v>
          </cell>
          <cell r="J204" t="str">
            <v>бетонное</v>
          </cell>
          <cell r="K204">
            <v>0</v>
          </cell>
          <cell r="L204">
            <v>50</v>
          </cell>
          <cell r="M204">
            <v>2.3780821917808219E-2</v>
          </cell>
          <cell r="N204">
            <v>0</v>
          </cell>
          <cell r="O204">
            <v>0</v>
          </cell>
          <cell r="P204">
            <v>2.378082191780817E-2</v>
          </cell>
          <cell r="Q204">
            <v>1924786.46</v>
          </cell>
          <cell r="R204">
            <v>1418.2039935160624</v>
          </cell>
          <cell r="S204" t="str">
            <v>Соответствует</v>
          </cell>
          <cell r="T204">
            <v>2219457</v>
          </cell>
          <cell r="U204">
            <v>1635.3205128205127</v>
          </cell>
          <cell r="V204">
            <v>1.1530925877356806</v>
          </cell>
          <cell r="W204" t="str">
            <v>Соответствует</v>
          </cell>
          <cell r="X204">
            <v>0</v>
          </cell>
          <cell r="Y204">
            <v>0</v>
          </cell>
          <cell r="Z204" t="str">
            <v/>
          </cell>
          <cell r="AA204" t="str">
            <v/>
          </cell>
          <cell r="AB204" t="e">
            <v>#VALUE!</v>
          </cell>
          <cell r="AC204" t="str">
            <v>Не рассчитывалась</v>
          </cell>
          <cell r="AD204" t="str">
            <v>Не рассчитывалась</v>
          </cell>
          <cell r="AE204" t="str">
            <v>Не рассчитывалась</v>
          </cell>
          <cell r="AF204" t="e">
            <v>#VALUE!</v>
          </cell>
          <cell r="AG204">
            <v>1357.2</v>
          </cell>
          <cell r="AH204">
            <v>0</v>
          </cell>
          <cell r="AI204">
            <v>0</v>
          </cell>
          <cell r="AJ204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04">
            <v>2219457</v>
          </cell>
          <cell r="AM204" t="str">
            <v>По сроку службы</v>
          </cell>
        </row>
        <row r="205">
          <cell r="A205">
            <v>272</v>
          </cell>
          <cell r="B205" t="str">
            <v>Ц00002399</v>
          </cell>
          <cell r="C205" t="str">
            <v>Навозохранилище №2 об.пл.-800,4кв.м. Об. 800,4 куб.м Кад№ 23:24:0701000:818 Лит Х (НП  МТФ№2)</v>
          </cell>
          <cell r="D205">
            <v>41935</v>
          </cell>
          <cell r="E205">
            <v>41935</v>
          </cell>
          <cell r="F205">
            <v>1348311.02</v>
          </cell>
          <cell r="G205">
            <v>0.98663458968190321</v>
          </cell>
          <cell r="H205">
            <v>1330290.2899812884</v>
          </cell>
          <cell r="I205">
            <v>1.189041095890411</v>
          </cell>
          <cell r="J205" t="str">
            <v>бетонное</v>
          </cell>
          <cell r="K205">
            <v>0</v>
          </cell>
          <cell r="L205">
            <v>50</v>
          </cell>
          <cell r="M205">
            <v>2.3780821917808219E-2</v>
          </cell>
          <cell r="N205">
            <v>0</v>
          </cell>
          <cell r="O205">
            <v>0</v>
          </cell>
          <cell r="P205">
            <v>2.378082191780817E-2</v>
          </cell>
          <cell r="Q205">
            <v>1126236.3</v>
          </cell>
          <cell r="R205">
            <v>1407.0918290854574</v>
          </cell>
          <cell r="S205" t="str">
            <v>Соответствует</v>
          </cell>
          <cell r="T205">
            <v>1298655</v>
          </cell>
          <cell r="U205">
            <v>1622.507496251874</v>
          </cell>
          <cell r="V205">
            <v>1.1530928278550425</v>
          </cell>
          <cell r="W205" t="str">
            <v>Соответствует</v>
          </cell>
          <cell r="X205">
            <v>0</v>
          </cell>
          <cell r="Y205">
            <v>0</v>
          </cell>
          <cell r="Z205" t="str">
            <v/>
          </cell>
          <cell r="AA205" t="str">
            <v/>
          </cell>
          <cell r="AB205" t="e">
            <v>#VALUE!</v>
          </cell>
          <cell r="AC205" t="str">
            <v>Не рассчитывалась</v>
          </cell>
          <cell r="AD205" t="str">
            <v>Не рассчитывалась</v>
          </cell>
          <cell r="AE205" t="str">
            <v>Не рассчитывалась</v>
          </cell>
          <cell r="AF205" t="e">
            <v>#VALUE!</v>
          </cell>
          <cell r="AG205">
            <v>800.4</v>
          </cell>
          <cell r="AH205">
            <v>0</v>
          </cell>
          <cell r="AI205">
            <v>0</v>
          </cell>
          <cell r="AJ205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05">
            <v>1298655</v>
          </cell>
          <cell r="AM205" t="str">
            <v>По сроку службы</v>
          </cell>
        </row>
        <row r="206">
          <cell r="A206">
            <v>274</v>
          </cell>
          <cell r="B206" t="str">
            <v>Ц00002407</v>
          </cell>
          <cell r="C206" t="str">
            <v>Навозохранилище №3 об.пл.-1338,9кв.м. Кад№ 23:24:0701000:802 Литер Ц (НП  МТФ№2)</v>
          </cell>
          <cell r="D206">
            <v>41935</v>
          </cell>
          <cell r="E206">
            <v>41935</v>
          </cell>
          <cell r="F206">
            <v>2237760.4</v>
          </cell>
          <cell r="G206">
            <v>0.98663458968190321</v>
          </cell>
          <cell r="H206">
            <v>2207851.8140604114</v>
          </cell>
          <cell r="I206">
            <v>1.189041095890411</v>
          </cell>
          <cell r="J206" t="str">
            <v>бетонное</v>
          </cell>
          <cell r="K206">
            <v>0</v>
          </cell>
          <cell r="L206">
            <v>50</v>
          </cell>
          <cell r="M206">
            <v>2.3780821917808219E-2</v>
          </cell>
          <cell r="N206">
            <v>0</v>
          </cell>
          <cell r="O206">
            <v>0</v>
          </cell>
          <cell r="P206">
            <v>2.378082191780817E-2</v>
          </cell>
          <cell r="Q206">
            <v>1869188.14</v>
          </cell>
          <cell r="R206">
            <v>1396.0625438793038</v>
          </cell>
          <cell r="S206" t="str">
            <v>Соответствует</v>
          </cell>
          <cell r="T206">
            <v>2155347</v>
          </cell>
          <cell r="U206">
            <v>1609.7893793412502</v>
          </cell>
          <cell r="V206">
            <v>1.1530925934507588</v>
          </cell>
          <cell r="W206" t="str">
            <v>Соответствует</v>
          </cell>
          <cell r="X206">
            <v>0</v>
          </cell>
          <cell r="Y206">
            <v>0</v>
          </cell>
          <cell r="Z206" t="str">
            <v/>
          </cell>
          <cell r="AA206" t="str">
            <v/>
          </cell>
          <cell r="AB206" t="e">
            <v>#VALUE!</v>
          </cell>
          <cell r="AC206" t="str">
            <v>Не рассчитывалась</v>
          </cell>
          <cell r="AD206" t="str">
            <v>Не рассчитывалась</v>
          </cell>
          <cell r="AE206" t="str">
            <v>Не рассчитывалась</v>
          </cell>
          <cell r="AF206" t="e">
            <v>#VALUE!</v>
          </cell>
          <cell r="AG206">
            <v>1338.9</v>
          </cell>
          <cell r="AH206">
            <v>0</v>
          </cell>
          <cell r="AI206">
            <v>0</v>
          </cell>
          <cell r="AJ206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06">
            <v>2155347</v>
          </cell>
          <cell r="AM206" t="str">
            <v>По сроку службы</v>
          </cell>
        </row>
        <row r="207">
          <cell r="A207">
            <v>276</v>
          </cell>
          <cell r="B207">
            <v>585</v>
          </cell>
          <cell r="C207" t="str">
            <v>Навозохранилище МТФ №4 Объем 7289 куб.м. Литер Г  Кад№ 23:11:0702000:901</v>
          </cell>
          <cell r="D207">
            <v>29570</v>
          </cell>
          <cell r="E207">
            <v>29570</v>
          </cell>
          <cell r="F207">
            <v>626214.1</v>
          </cell>
          <cell r="G207">
            <v>13.261762999999998</v>
          </cell>
          <cell r="H207">
            <v>8304702.9814582989</v>
          </cell>
          <cell r="I207">
            <v>35.065753424657537</v>
          </cell>
          <cell r="J207" t="str">
            <v>бетонное</v>
          </cell>
          <cell r="K207">
            <v>0</v>
          </cell>
          <cell r="L207">
            <v>50</v>
          </cell>
          <cell r="M207">
            <v>0.70131506849315073</v>
          </cell>
          <cell r="N207">
            <v>0</v>
          </cell>
          <cell r="O207">
            <v>0</v>
          </cell>
          <cell r="P207">
            <v>0.70131506849315073</v>
          </cell>
          <cell r="Q207">
            <v>0</v>
          </cell>
          <cell r="R207" t="e">
            <v>#VALUE!</v>
          </cell>
          <cell r="S207" t="str">
            <v>Не соответствует</v>
          </cell>
          <cell r="T207">
            <v>2480490</v>
          </cell>
          <cell r="U207" t="e">
            <v>#VALUE!</v>
          </cell>
          <cell r="V207" t="e">
            <v>#DIV/0!</v>
          </cell>
          <cell r="W207" t="str">
            <v>Соответствует</v>
          </cell>
          <cell r="X207">
            <v>0</v>
          </cell>
          <cell r="Y207">
            <v>0</v>
          </cell>
          <cell r="Z207" t="str">
            <v/>
          </cell>
          <cell r="AA207" t="str">
            <v/>
          </cell>
          <cell r="AB207" t="e">
            <v>#VALUE!</v>
          </cell>
          <cell r="AC207" t="str">
            <v>Не рассчитывалась</v>
          </cell>
          <cell r="AD207" t="str">
            <v>Не рассчитывалась</v>
          </cell>
          <cell r="AE207" t="str">
            <v>Не рассчитывалась</v>
          </cell>
          <cell r="AF207" t="e">
            <v>#VALUE!</v>
          </cell>
          <cell r="AG207" t="str">
            <v>объем: 7289 куб.м.</v>
          </cell>
          <cell r="AH207" t="str">
            <v>будет использоваться</v>
          </cell>
          <cell r="AI207">
            <v>0</v>
          </cell>
          <cell r="AJ207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07">
            <v>2480490</v>
          </cell>
          <cell r="AM207" t="str">
            <v>По сроку службы</v>
          </cell>
        </row>
        <row r="208">
          <cell r="A208">
            <v>277</v>
          </cell>
          <cell r="B208" t="str">
            <v>Ц00003362</v>
          </cell>
          <cell r="C208" t="str">
            <v>Навозохранилище на 2000 т (КС МТФ№1)</v>
          </cell>
          <cell r="D208">
            <v>41913</v>
          </cell>
          <cell r="E208">
            <v>41913</v>
          </cell>
          <cell r="F208">
            <v>23944.7</v>
          </cell>
          <cell r="G208">
            <v>0.98663458968190321</v>
          </cell>
          <cell r="H208">
            <v>23624.669259556267</v>
          </cell>
          <cell r="I208">
            <v>1.2493150684931507</v>
          </cell>
          <cell r="J208" t="str">
            <v>бетонное</v>
          </cell>
          <cell r="K208">
            <v>0</v>
          </cell>
          <cell r="L208">
            <v>50</v>
          </cell>
          <cell r="M208">
            <v>2.4986301369863014E-2</v>
          </cell>
          <cell r="N208">
            <v>0</v>
          </cell>
          <cell r="O208">
            <v>0</v>
          </cell>
          <cell r="P208">
            <v>2.4986301369863018E-2</v>
          </cell>
          <cell r="Q208">
            <v>20000.900000000001</v>
          </cell>
          <cell r="R208">
            <v>28.410369318181822</v>
          </cell>
          <cell r="S208" t="str">
            <v>Не соответствует</v>
          </cell>
          <cell r="T208">
            <v>23034</v>
          </cell>
          <cell r="U208">
            <v>32.71875</v>
          </cell>
          <cell r="V208">
            <v>1.1516481758320876</v>
          </cell>
          <cell r="W208" t="str">
            <v>Не соответствует</v>
          </cell>
          <cell r="X208">
            <v>0</v>
          </cell>
          <cell r="Y208">
            <v>0</v>
          </cell>
          <cell r="Z208" t="str">
            <v/>
          </cell>
          <cell r="AA208" t="str">
            <v/>
          </cell>
          <cell r="AB208" t="e">
            <v>#VALUE!</v>
          </cell>
          <cell r="AC208" t="str">
            <v>Не рассчитывалась</v>
          </cell>
          <cell r="AD208">
            <v>4424633</v>
          </cell>
          <cell r="AE208">
            <v>6284.990056818182</v>
          </cell>
          <cell r="AF208">
            <v>221.22169502372392</v>
          </cell>
          <cell r="AG208">
            <v>704</v>
          </cell>
          <cell r="AH208">
            <v>0</v>
          </cell>
          <cell r="AI208" t="str">
            <v>Уточнить состояние по фото</v>
          </cell>
          <cell r="AJ208" t="str">
            <v>Фото не предоставлено. Чем обусловлена столь низкая балансовая стоимость 24 тыс. руб. за бетонное навозохранилище на 2000 т?</v>
          </cell>
          <cell r="AK208">
            <v>1</v>
          </cell>
          <cell r="AL208">
            <v>4424633</v>
          </cell>
          <cell r="AM208" t="str">
            <v>Ко-Инвест</v>
          </cell>
        </row>
        <row r="209">
          <cell r="A209">
            <v>278</v>
          </cell>
          <cell r="B209" t="str">
            <v>Ц00005222</v>
          </cell>
          <cell r="C209" t="str">
            <v>Навозохранилище Об.пл. 6078 кв.м. МТФ№3   Кад№ 23:11:0702000:900</v>
          </cell>
          <cell r="D209">
            <v>42339</v>
          </cell>
          <cell r="E209">
            <v>42339</v>
          </cell>
          <cell r="F209">
            <v>1500000</v>
          </cell>
          <cell r="G209">
            <v>1</v>
          </cell>
          <cell r="H209">
            <v>1500000</v>
          </cell>
          <cell r="I209">
            <v>8.2191780821917804E-2</v>
          </cell>
          <cell r="J209" t="str">
            <v>железобетон</v>
          </cell>
          <cell r="K209">
            <v>0</v>
          </cell>
          <cell r="L209">
            <v>50</v>
          </cell>
          <cell r="M209">
            <v>1.643835616438356E-3</v>
          </cell>
          <cell r="N209">
            <v>0</v>
          </cell>
          <cell r="O209">
            <v>0</v>
          </cell>
          <cell r="P209">
            <v>1.6438356164383272E-3</v>
          </cell>
          <cell r="Q209">
            <v>1500000</v>
          </cell>
          <cell r="R209">
            <v>246.79170779861798</v>
          </cell>
          <cell r="S209" t="str">
            <v>Соответствует</v>
          </cell>
          <cell r="T209">
            <v>1497534</v>
          </cell>
          <cell r="U209">
            <v>246.38598223099703</v>
          </cell>
          <cell r="V209">
            <v>0.99835600000000002</v>
          </cell>
          <cell r="W209" t="str">
            <v>Соответствует</v>
          </cell>
          <cell r="X209">
            <v>0</v>
          </cell>
          <cell r="Y209">
            <v>0</v>
          </cell>
          <cell r="Z209" t="str">
            <v/>
          </cell>
          <cell r="AA209" t="str">
            <v/>
          </cell>
          <cell r="AB209" t="e">
            <v>#VALUE!</v>
          </cell>
          <cell r="AC209" t="str">
            <v>Не рассчитывалась</v>
          </cell>
          <cell r="AD209">
            <v>96265581</v>
          </cell>
          <cell r="AE209">
            <v>15838.364758144126</v>
          </cell>
          <cell r="AF209">
            <v>64.177053999999998</v>
          </cell>
          <cell r="AG209">
            <v>6078</v>
          </cell>
          <cell r="AH209">
            <v>0</v>
          </cell>
          <cell r="AI209">
            <v>0</v>
          </cell>
          <cell r="AJ209" t="str">
            <v>Фото не предоставлено. Чем обусловлена столь низкая балансовая стоимость 1,5 млн. руб. за ж/б навозохранилище площадью 6078 кв. м?</v>
          </cell>
          <cell r="AK209">
            <v>1</v>
          </cell>
          <cell r="AL209">
            <v>1497534</v>
          </cell>
          <cell r="AM209" t="str">
            <v>По сроку службы</v>
          </cell>
        </row>
        <row r="210">
          <cell r="A210">
            <v>279</v>
          </cell>
          <cell r="B210" t="str">
            <v>Ц00005223</v>
          </cell>
          <cell r="C210" t="str">
            <v>Навозохранилище Объем 18632  м.куб. МТФ №4(1)   Кад№ 23:11:0702004:45</v>
          </cell>
          <cell r="D210">
            <v>42339</v>
          </cell>
          <cell r="E210">
            <v>42339</v>
          </cell>
          <cell r="F210">
            <v>200000</v>
          </cell>
          <cell r="G210">
            <v>1</v>
          </cell>
          <cell r="H210">
            <v>200000</v>
          </cell>
          <cell r="I210">
            <v>8.2191780821917804E-2</v>
          </cell>
          <cell r="J210" t="str">
            <v>железобетон</v>
          </cell>
          <cell r="K210">
            <v>0</v>
          </cell>
          <cell r="L210">
            <v>50</v>
          </cell>
          <cell r="M210">
            <v>1.643835616438356E-3</v>
          </cell>
          <cell r="N210">
            <v>0</v>
          </cell>
          <cell r="O210">
            <v>0</v>
          </cell>
          <cell r="P210">
            <v>1.6438356164383272E-3</v>
          </cell>
          <cell r="Q210">
            <v>200000</v>
          </cell>
          <cell r="R210">
            <v>42.936882782310008</v>
          </cell>
          <cell r="S210" t="str">
            <v>Соответствует</v>
          </cell>
          <cell r="T210">
            <v>199671</v>
          </cell>
          <cell r="U210">
            <v>42.866251610133105</v>
          </cell>
          <cell r="V210">
            <v>0.99835499999999999</v>
          </cell>
          <cell r="W210" t="str">
            <v>Соответствует</v>
          </cell>
          <cell r="X210">
            <v>0</v>
          </cell>
          <cell r="Y210">
            <v>0</v>
          </cell>
          <cell r="Z210" t="str">
            <v/>
          </cell>
          <cell r="AA210" t="str">
            <v/>
          </cell>
          <cell r="AB210" t="e">
            <v>#VALUE!</v>
          </cell>
          <cell r="AC210" t="str">
            <v>Не рассчитывалась</v>
          </cell>
          <cell r="AD210">
            <v>73774937</v>
          </cell>
          <cell r="AE210">
            <v>15838.329111206527</v>
          </cell>
          <cell r="AF210">
            <v>368.874685</v>
          </cell>
          <cell r="AG210">
            <v>4658</v>
          </cell>
          <cell r="AH210">
            <v>0</v>
          </cell>
          <cell r="AI210">
            <v>0</v>
          </cell>
          <cell r="AJ210" t="str">
            <v>Фото не предоставлено. Чем обусловлена столь низкая балансовая стоимость 24 тыс. руб. за бетонное навозохранилище на 2000 т?</v>
          </cell>
          <cell r="AK210">
            <v>1</v>
          </cell>
          <cell r="AL210">
            <v>199671</v>
          </cell>
          <cell r="AM210" t="str">
            <v>По сроку службы</v>
          </cell>
        </row>
        <row r="211">
          <cell r="A211">
            <v>280</v>
          </cell>
          <cell r="B211" t="str">
            <v>Ц00005221</v>
          </cell>
          <cell r="C211" t="str">
            <v>Навозохранилище Объем 20000 м.куб. МТФ №5   Кад№ 23:11:0702000:905</v>
          </cell>
          <cell r="D211">
            <v>42339</v>
          </cell>
          <cell r="E211">
            <v>42339</v>
          </cell>
          <cell r="F211">
            <v>2000000</v>
          </cell>
          <cell r="G211">
            <v>1</v>
          </cell>
          <cell r="H211">
            <v>2000000</v>
          </cell>
          <cell r="I211">
            <v>8.2191780821917804E-2</v>
          </cell>
          <cell r="J211" t="str">
            <v>железо-бетон</v>
          </cell>
          <cell r="K211">
            <v>0</v>
          </cell>
          <cell r="L211">
            <v>50</v>
          </cell>
          <cell r="M211">
            <v>1.643835616438356E-3</v>
          </cell>
          <cell r="N211">
            <v>0</v>
          </cell>
          <cell r="O211">
            <v>0</v>
          </cell>
          <cell r="P211">
            <v>1.6438356164383272E-3</v>
          </cell>
          <cell r="Q211">
            <v>2000000</v>
          </cell>
          <cell r="R211">
            <v>400</v>
          </cell>
          <cell r="S211" t="str">
            <v>Соответствует</v>
          </cell>
          <cell r="T211">
            <v>1996712</v>
          </cell>
          <cell r="U211">
            <v>399.3424</v>
          </cell>
          <cell r="V211">
            <v>0.99835600000000002</v>
          </cell>
          <cell r="W211" t="str">
            <v>Соответствует</v>
          </cell>
          <cell r="X211">
            <v>0</v>
          </cell>
          <cell r="Y211">
            <v>0</v>
          </cell>
          <cell r="Z211" t="str">
            <v/>
          </cell>
          <cell r="AA211" t="str">
            <v/>
          </cell>
          <cell r="AB211" t="e">
            <v>#VALUE!</v>
          </cell>
          <cell r="AC211" t="str">
            <v>Не рассчитывалась</v>
          </cell>
          <cell r="AD211">
            <v>79192371</v>
          </cell>
          <cell r="AE211">
            <v>15838.474200000001</v>
          </cell>
          <cell r="AF211">
            <v>39.596185499999997</v>
          </cell>
          <cell r="AG211">
            <v>5000</v>
          </cell>
          <cell r="AH211">
            <v>0</v>
          </cell>
          <cell r="AI211">
            <v>0</v>
          </cell>
          <cell r="AJ211" t="str">
            <v>Фото не предоставлено. Чем обусловлена столь низкая балансовая стоимость 24 тыс. руб. за бетонное навозохранилище на 2000 т?</v>
          </cell>
          <cell r="AK211">
            <v>1</v>
          </cell>
          <cell r="AL211">
            <v>1996712</v>
          </cell>
          <cell r="AM211" t="str">
            <v>По сроку службы</v>
          </cell>
        </row>
        <row r="212">
          <cell r="A212">
            <v>282</v>
          </cell>
          <cell r="B212" t="str">
            <v>Ц00003203</v>
          </cell>
          <cell r="C212" t="str">
            <v>Наружные сети водопровода и канализации   (НП МТФ№2)</v>
          </cell>
          <cell r="D212">
            <v>41913</v>
          </cell>
          <cell r="E212">
            <v>41913</v>
          </cell>
          <cell r="F212">
            <v>134857.75</v>
          </cell>
          <cell r="G212">
            <v>0.98663458968190321</v>
          </cell>
          <cell r="H212">
            <v>133055.32083667468</v>
          </cell>
          <cell r="I212">
            <v>1.2493150684931507</v>
          </cell>
          <cell r="J212" t="str">
            <v>труба железная</v>
          </cell>
          <cell r="K212">
            <v>0</v>
          </cell>
          <cell r="L212">
            <v>15</v>
          </cell>
          <cell r="M212">
            <v>8.3287671232876712E-2</v>
          </cell>
          <cell r="N212">
            <v>0</v>
          </cell>
          <cell r="O212">
            <v>0</v>
          </cell>
          <cell r="P212">
            <v>8.3287671232876725E-2</v>
          </cell>
          <cell r="Q212">
            <v>124426.77</v>
          </cell>
          <cell r="R212" t="e">
            <v>#DIV/0!</v>
          </cell>
          <cell r="S212" t="str">
            <v>Соответствует</v>
          </cell>
          <cell r="T212">
            <v>121973</v>
          </cell>
          <cell r="U212" t="e">
            <v>#DIV/0!</v>
          </cell>
          <cell r="V212">
            <v>0.98027940450435225</v>
          </cell>
          <cell r="W212" t="str">
            <v>Соответствует</v>
          </cell>
          <cell r="X212">
            <v>0</v>
          </cell>
          <cell r="Y212">
            <v>0</v>
          </cell>
          <cell r="Z212" t="str">
            <v/>
          </cell>
          <cell r="AA212" t="str">
            <v/>
          </cell>
          <cell r="AB212" t="e">
            <v>#VALUE!</v>
          </cell>
          <cell r="AC212" t="str">
            <v>Не рассчитывалась</v>
          </cell>
          <cell r="AD212">
            <v>380131</v>
          </cell>
          <cell r="AE212" t="str">
            <v>Не рассчитывалась</v>
          </cell>
          <cell r="AF212">
            <v>3.0550580072117919</v>
          </cell>
          <cell r="AG212">
            <v>0</v>
          </cell>
          <cell r="AH212">
            <v>0</v>
          </cell>
          <cell r="AI212">
            <v>0</v>
          </cell>
          <cell r="AJ212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12">
            <v>121973</v>
          </cell>
          <cell r="AM212" t="str">
            <v>По сроку службы</v>
          </cell>
        </row>
        <row r="213">
          <cell r="A213">
            <v>283</v>
          </cell>
          <cell r="B213" t="str">
            <v>Р00010146</v>
          </cell>
          <cell r="C213" t="str">
            <v xml:space="preserve">Насосная станция №5 (тер. МТФ№5) </v>
          </cell>
          <cell r="D213">
            <v>41633</v>
          </cell>
          <cell r="E213">
            <v>41633</v>
          </cell>
          <cell r="F213">
            <v>4563492.13</v>
          </cell>
          <cell r="G213">
            <v>1.0161046111493461</v>
          </cell>
          <cell r="H213">
            <v>4636985.3962367512</v>
          </cell>
          <cell r="I213">
            <v>2.0164383561643837</v>
          </cell>
          <cell r="J213" t="str">
            <v>металл</v>
          </cell>
          <cell r="K213">
            <v>0</v>
          </cell>
          <cell r="L213">
            <v>35</v>
          </cell>
          <cell r="M213">
            <v>5.7612524461839537E-2</v>
          </cell>
          <cell r="N213">
            <v>0</v>
          </cell>
          <cell r="O213">
            <v>0</v>
          </cell>
          <cell r="P213">
            <v>5.7612524461839509E-2</v>
          </cell>
          <cell r="Q213">
            <v>1603389.0099999998</v>
          </cell>
          <cell r="R213">
            <v>64135.560399999988</v>
          </cell>
          <cell r="S213" t="str">
            <v>Не соответствует</v>
          </cell>
          <cell r="T213">
            <v>4369837</v>
          </cell>
          <cell r="U213">
            <v>174793.48</v>
          </cell>
          <cell r="V213">
            <v>2.7253754221503619</v>
          </cell>
          <cell r="W213" t="str">
            <v>Не соответствует</v>
          </cell>
          <cell r="X213">
            <v>0</v>
          </cell>
          <cell r="Y213">
            <v>0</v>
          </cell>
          <cell r="Z213" t="str">
            <v/>
          </cell>
          <cell r="AA213" t="str">
            <v/>
          </cell>
          <cell r="AB213" t="e">
            <v>#VALUE!</v>
          </cell>
          <cell r="AC213" t="str">
            <v>Не рассчитывалась</v>
          </cell>
          <cell r="AD213">
            <v>369113</v>
          </cell>
          <cell r="AE213">
            <v>14764.52</v>
          </cell>
          <cell r="AF213">
            <v>0.23020801421109907</v>
          </cell>
          <cell r="AG213">
            <v>25</v>
          </cell>
          <cell r="AH213" t="str">
            <v>будет использоваться</v>
          </cell>
          <cell r="AI213" t="str">
            <v>возможно с оборудованием?</v>
          </cell>
          <cell r="AJ213" t="str">
            <v>Фото не предоставлено. Уточнить учет оборудования в балансовой стоимости. Расчет по Ко-Инвесту</v>
          </cell>
          <cell r="AK213">
            <v>1</v>
          </cell>
          <cell r="AL213">
            <v>369113</v>
          </cell>
          <cell r="AM213" t="str">
            <v>Ко-Инвест</v>
          </cell>
        </row>
        <row r="214">
          <cell r="A214">
            <v>285</v>
          </cell>
          <cell r="B214" t="str">
            <v>Ц00002282</v>
          </cell>
          <cell r="C214" t="str">
            <v>Нежилое здание Об.пл. 163,6кв.м.(Площ. для пригот.кормосмеси) Кад№ 23:24:0701000:794 ЛитР(НП  МТФ№2)</v>
          </cell>
          <cell r="D214">
            <v>41935</v>
          </cell>
          <cell r="E214">
            <v>41935</v>
          </cell>
          <cell r="F214">
            <v>705155.92</v>
          </cell>
          <cell r="G214">
            <v>0.98663458968190321</v>
          </cell>
          <cell r="H214">
            <v>695731.22179096495</v>
          </cell>
          <cell r="I214">
            <v>1.189041095890411</v>
          </cell>
          <cell r="J214" t="str">
            <v>монолитный железобетон, металлопрофиль</v>
          </cell>
          <cell r="K214">
            <v>0</v>
          </cell>
          <cell r="L214">
            <v>35</v>
          </cell>
          <cell r="M214">
            <v>3.3972602739726028E-2</v>
          </cell>
          <cell r="N214">
            <v>0</v>
          </cell>
          <cell r="O214">
            <v>0</v>
          </cell>
          <cell r="P214">
            <v>3.3972602739726021E-2</v>
          </cell>
          <cell r="Q214">
            <v>650613.46000000008</v>
          </cell>
          <cell r="R214">
            <v>3976.8548899755506</v>
          </cell>
          <cell r="S214" t="str">
            <v>Соответствует</v>
          </cell>
          <cell r="T214">
            <v>672095</v>
          </cell>
          <cell r="U214">
            <v>4108.160146699267</v>
          </cell>
          <cell r="V214">
            <v>1.0330173617988165</v>
          </cell>
          <cell r="W214" t="str">
            <v>Соответствует</v>
          </cell>
          <cell r="X214" t="str">
            <v>отличное</v>
          </cell>
          <cell r="Y214">
            <v>0.1</v>
          </cell>
          <cell r="Z214">
            <v>626158.0996118685</v>
          </cell>
          <cell r="AA214">
            <v>3827.3722470163111</v>
          </cell>
          <cell r="AB214">
            <v>0.96241184375722633</v>
          </cell>
          <cell r="AC214" t="str">
            <v>Соответствует</v>
          </cell>
          <cell r="AD214" t="str">
            <v>Не рассчитывалась</v>
          </cell>
          <cell r="AE214" t="str">
            <v>Не рассчитывалась</v>
          </cell>
          <cell r="AF214" t="e">
            <v>#VALUE!</v>
          </cell>
          <cell r="AG214">
            <v>163.6</v>
          </cell>
          <cell r="AH214">
            <v>0</v>
          </cell>
          <cell r="AI214">
            <v>0</v>
          </cell>
          <cell r="AL214">
            <v>672095</v>
          </cell>
          <cell r="AM214" t="str">
            <v>По сроку службы</v>
          </cell>
        </row>
        <row r="215">
          <cell r="A215">
            <v>286</v>
          </cell>
          <cell r="B215">
            <v>587</v>
          </cell>
          <cell r="C215" t="str">
            <v>Ограда инкубатора     82</v>
          </cell>
          <cell r="D215">
            <v>34318</v>
          </cell>
          <cell r="E215">
            <v>34318</v>
          </cell>
          <cell r="F215">
            <v>23616</v>
          </cell>
          <cell r="G215">
            <v>13.261762999999998</v>
          </cell>
          <cell r="H215">
            <v>313189.79500799999</v>
          </cell>
          <cell r="I215">
            <v>22.057534246575344</v>
          </cell>
          <cell r="J215" t="str">
            <v>металические секции</v>
          </cell>
          <cell r="K215">
            <v>0</v>
          </cell>
          <cell r="L215">
            <v>25</v>
          </cell>
          <cell r="M215">
            <v>0.8</v>
          </cell>
          <cell r="N215">
            <v>0</v>
          </cell>
          <cell r="O215">
            <v>0</v>
          </cell>
          <cell r="P215">
            <v>0.8</v>
          </cell>
          <cell r="Q215">
            <v>8040.32</v>
          </cell>
          <cell r="R215" t="e">
            <v>#DIV/0!</v>
          </cell>
          <cell r="S215">
            <v>0</v>
          </cell>
          <cell r="T215">
            <v>62638</v>
          </cell>
          <cell r="U215" t="e">
            <v>#DIV/0!</v>
          </cell>
          <cell r="V215">
            <v>7.7904859508079287</v>
          </cell>
          <cell r="W215">
            <v>0</v>
          </cell>
          <cell r="X215">
            <v>0</v>
          </cell>
          <cell r="Y215">
            <v>0</v>
          </cell>
          <cell r="Z215" t="str">
            <v/>
          </cell>
          <cell r="AA215" t="str">
            <v/>
          </cell>
          <cell r="AB215" t="e">
            <v>#VALUE!</v>
          </cell>
          <cell r="AC215">
            <v>0</v>
          </cell>
          <cell r="AD215" t="str">
            <v>Не рассчитывалась</v>
          </cell>
          <cell r="AE215" t="str">
            <v>Не рассчитывалась</v>
          </cell>
          <cell r="AF215" t="e">
            <v>#VALUE!</v>
          </cell>
          <cell r="AG215">
            <v>0</v>
          </cell>
          <cell r="AH215" t="str">
            <v>не будет использоваться</v>
          </cell>
          <cell r="AI215">
            <v>0</v>
          </cell>
          <cell r="AL215">
            <v>0</v>
          </cell>
          <cell r="AM215" t="str">
            <v>Не рассчитывалась</v>
          </cell>
        </row>
        <row r="216">
          <cell r="A216">
            <v>287</v>
          </cell>
          <cell r="B216">
            <v>588</v>
          </cell>
          <cell r="C216" t="str">
            <v>Ограда сройбригады</v>
          </cell>
          <cell r="D216">
            <v>29204</v>
          </cell>
          <cell r="E216">
            <v>29204</v>
          </cell>
          <cell r="F216">
            <v>14533</v>
          </cell>
          <cell r="G216">
            <v>13.261762999999998</v>
          </cell>
          <cell r="H216">
            <v>192733.20167899999</v>
          </cell>
          <cell r="I216">
            <v>36.06849315068493</v>
          </cell>
          <cell r="J216" t="str">
            <v>ж/б плиты</v>
          </cell>
          <cell r="K216">
            <v>0</v>
          </cell>
          <cell r="L216">
            <v>30</v>
          </cell>
          <cell r="M216">
            <v>0.8</v>
          </cell>
          <cell r="N216">
            <v>0</v>
          </cell>
          <cell r="O216">
            <v>0</v>
          </cell>
          <cell r="P216">
            <v>0.8</v>
          </cell>
          <cell r="Q216">
            <v>0</v>
          </cell>
          <cell r="R216" t="e">
            <v>#DIV/0!</v>
          </cell>
          <cell r="S216" t="str">
            <v>Не соответствует</v>
          </cell>
          <cell r="T216">
            <v>38547</v>
          </cell>
          <cell r="U216" t="e">
            <v>#DIV/0!</v>
          </cell>
          <cell r="V216" t="e">
            <v>#DIV/0!</v>
          </cell>
          <cell r="W216" t="str">
            <v>Соответствует</v>
          </cell>
          <cell r="X216">
            <v>0</v>
          </cell>
          <cell r="Y216">
            <v>0</v>
          </cell>
          <cell r="Z216" t="str">
            <v/>
          </cell>
          <cell r="AA216" t="str">
            <v/>
          </cell>
          <cell r="AB216" t="e">
            <v>#VALUE!</v>
          </cell>
          <cell r="AC216" t="str">
            <v>Не рассчитывалась</v>
          </cell>
          <cell r="AD216">
            <v>323728</v>
          </cell>
          <cell r="AE216" t="str">
            <v>Не рассчитывалась</v>
          </cell>
          <cell r="AF216" t="e">
            <v>#DIV/0!</v>
          </cell>
          <cell r="AG216">
            <v>0</v>
          </cell>
          <cell r="AH216" t="str">
            <v>будет использоваться</v>
          </cell>
          <cell r="AI216">
            <v>0</v>
          </cell>
          <cell r="AJ216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16">
            <v>38547</v>
          </cell>
          <cell r="AM216" t="str">
            <v>По сроку службы</v>
          </cell>
        </row>
        <row r="217">
          <cell r="A217">
            <v>288</v>
          </cell>
          <cell r="B217" t="str">
            <v>Р00008007</v>
          </cell>
          <cell r="C217" t="str">
            <v>Ограждение  бр.5 Литер:VII Дл. 475 м Кад№  23:11:0702000:757</v>
          </cell>
          <cell r="D217">
            <v>40178</v>
          </cell>
          <cell r="E217">
            <v>40178</v>
          </cell>
          <cell r="F217">
            <v>715445.83</v>
          </cell>
          <cell r="G217">
            <v>1.6231310466138962</v>
          </cell>
          <cell r="H217">
            <v>1161262.3388434476</v>
          </cell>
          <cell r="I217">
            <v>6.0027397260273974</v>
          </cell>
          <cell r="J217" t="str">
            <v>железобетон</v>
          </cell>
          <cell r="K217">
            <v>0</v>
          </cell>
          <cell r="L217">
            <v>30</v>
          </cell>
          <cell r="M217">
            <v>0.20009132420091325</v>
          </cell>
          <cell r="N217">
            <v>0</v>
          </cell>
          <cell r="O217">
            <v>0</v>
          </cell>
          <cell r="P217">
            <v>0.20009132420091325</v>
          </cell>
          <cell r="Q217">
            <v>572753.28999999992</v>
          </cell>
          <cell r="R217" t="e">
            <v>#VALUE!</v>
          </cell>
          <cell r="S217" t="str">
            <v>Не соответствует</v>
          </cell>
          <cell r="T217">
            <v>928904</v>
          </cell>
          <cell r="U217" t="e">
            <v>#VALUE!</v>
          </cell>
          <cell r="V217">
            <v>1.621822198524604</v>
          </cell>
          <cell r="W217" t="str">
            <v>Соответствует</v>
          </cell>
          <cell r="X217">
            <v>0</v>
          </cell>
          <cell r="Y217">
            <v>0</v>
          </cell>
          <cell r="Z217" t="str">
            <v/>
          </cell>
          <cell r="AA217" t="str">
            <v/>
          </cell>
          <cell r="AB217" t="e">
            <v>#VALUE!</v>
          </cell>
          <cell r="AC217" t="str">
            <v>Не рассчитывалась</v>
          </cell>
          <cell r="AD217">
            <v>960958</v>
          </cell>
          <cell r="AE217" t="str">
            <v>Не рассчитывалась</v>
          </cell>
          <cell r="AF217">
            <v>1.6777869578016744</v>
          </cell>
          <cell r="AG217" t="str">
            <v>протяженность: 475 м.</v>
          </cell>
          <cell r="AH217">
            <v>0</v>
          </cell>
          <cell r="AI217">
            <v>0</v>
          </cell>
          <cell r="AJ217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17">
            <v>928904</v>
          </cell>
          <cell r="AM217" t="str">
            <v>По сроку службы</v>
          </cell>
        </row>
        <row r="218">
          <cell r="A218">
            <v>289</v>
          </cell>
          <cell r="B218" t="str">
            <v>Р00008010</v>
          </cell>
          <cell r="C218" t="str">
            <v>Ограждение  МТФ№5  Литер :II Об.пл. 497 кв.м. Кад№ 23:11:0702000:761</v>
          </cell>
          <cell r="D218">
            <v>40178</v>
          </cell>
          <cell r="E218">
            <v>40178</v>
          </cell>
          <cell r="F218">
            <v>715445.83</v>
          </cell>
          <cell r="G218">
            <v>1.6231310466138962</v>
          </cell>
          <cell r="H218">
            <v>1161262.3388434476</v>
          </cell>
          <cell r="I218">
            <v>6.0027397260273974</v>
          </cell>
          <cell r="J218" t="str">
            <v>железобетон</v>
          </cell>
          <cell r="K218">
            <v>0</v>
          </cell>
          <cell r="L218">
            <v>30</v>
          </cell>
          <cell r="M218">
            <v>0.20009132420091325</v>
          </cell>
          <cell r="N218">
            <v>0</v>
          </cell>
          <cell r="O218">
            <v>0</v>
          </cell>
          <cell r="P218">
            <v>0.20009132420091325</v>
          </cell>
          <cell r="Q218">
            <v>468086.88999999996</v>
          </cell>
          <cell r="R218">
            <v>941.82472837022124</v>
          </cell>
          <cell r="S218" t="str">
            <v>Не соответствует</v>
          </cell>
          <cell r="T218">
            <v>928904</v>
          </cell>
          <cell r="U218">
            <v>1869.0221327967806</v>
          </cell>
          <cell r="V218">
            <v>1.9844691655431752</v>
          </cell>
          <cell r="W218" t="str">
            <v>Соответствует</v>
          </cell>
          <cell r="X218">
            <v>0</v>
          </cell>
          <cell r="Y218">
            <v>0</v>
          </cell>
          <cell r="Z218" t="str">
            <v/>
          </cell>
          <cell r="AA218" t="str">
            <v/>
          </cell>
          <cell r="AB218" t="e">
            <v>#VALUE!</v>
          </cell>
          <cell r="AC218" t="str">
            <v>Не рассчитывалась</v>
          </cell>
          <cell r="AD218">
            <v>1005466</v>
          </cell>
          <cell r="AE218">
            <v>2023.0704225352113</v>
          </cell>
          <cell r="AF218">
            <v>2.1480328150185963</v>
          </cell>
          <cell r="AG218">
            <v>497</v>
          </cell>
          <cell r="AH218">
            <v>0</v>
          </cell>
          <cell r="AI218">
            <v>0</v>
          </cell>
          <cell r="AJ218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18">
            <v>928904</v>
          </cell>
          <cell r="AM218" t="str">
            <v>По сроку службы</v>
          </cell>
        </row>
        <row r="219">
          <cell r="A219">
            <v>290</v>
          </cell>
          <cell r="B219" t="str">
            <v>Р00009086</v>
          </cell>
          <cell r="C219" t="str">
            <v>Ограждение  нефтебазы</v>
          </cell>
          <cell r="D219">
            <v>40907</v>
          </cell>
          <cell r="E219">
            <v>40907</v>
          </cell>
          <cell r="F219">
            <v>571407.88</v>
          </cell>
          <cell r="G219">
            <v>1.4002276176024278</v>
          </cell>
          <cell r="H219">
            <v>800101.09449165396</v>
          </cell>
          <cell r="I219">
            <v>4.0054794520547947</v>
          </cell>
          <cell r="J219" t="str">
            <v>ж/б плиты</v>
          </cell>
          <cell r="K219">
            <v>0</v>
          </cell>
          <cell r="L219">
            <v>30</v>
          </cell>
          <cell r="M219">
            <v>0.13351598173515983</v>
          </cell>
          <cell r="N219">
            <v>0</v>
          </cell>
          <cell r="O219">
            <v>0</v>
          </cell>
          <cell r="P219">
            <v>0.13351598173515988</v>
          </cell>
          <cell r="Q219">
            <v>495431.08</v>
          </cell>
          <cell r="R219" t="e">
            <v>#DIV/0!</v>
          </cell>
          <cell r="S219" t="str">
            <v>Не соответствует</v>
          </cell>
          <cell r="T219">
            <v>693275</v>
          </cell>
          <cell r="U219" t="e">
            <v>#DIV/0!</v>
          </cell>
          <cell r="V219">
            <v>1.3993369168522896</v>
          </cell>
          <cell r="W219" t="str">
            <v>Соответствует</v>
          </cell>
          <cell r="X219">
            <v>0</v>
          </cell>
          <cell r="Y219">
            <v>0</v>
          </cell>
          <cell r="Z219" t="str">
            <v/>
          </cell>
          <cell r="AA219" t="str">
            <v/>
          </cell>
          <cell r="AB219" t="e">
            <v>#VALUE!</v>
          </cell>
          <cell r="AC219" t="str">
            <v>Не рассчитывалась</v>
          </cell>
          <cell r="AD219">
            <v>1139553</v>
          </cell>
          <cell r="AE219" t="str">
            <v>Не рассчитывалась</v>
          </cell>
          <cell r="AF219">
            <v>2.3001241666146579</v>
          </cell>
          <cell r="AG219">
            <v>0</v>
          </cell>
          <cell r="AH219">
            <v>0</v>
          </cell>
          <cell r="AI219">
            <v>0</v>
          </cell>
          <cell r="AJ219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19">
            <v>693275</v>
          </cell>
          <cell r="AM219" t="str">
            <v>По сроку службы</v>
          </cell>
        </row>
        <row r="220">
          <cell r="A220">
            <v>291</v>
          </cell>
          <cell r="B220" t="str">
            <v>Р00008442</v>
          </cell>
          <cell r="C220" t="str">
            <v>Ограждение МТФ №3  Литер V об.пл. 1067,5 кв.м.  Кад№ 23:11:0702000:770</v>
          </cell>
          <cell r="D220">
            <v>40599</v>
          </cell>
          <cell r="E220">
            <v>40599</v>
          </cell>
          <cell r="F220">
            <v>1532830</v>
          </cell>
          <cell r="G220">
            <v>1.4002276176024278</v>
          </cell>
          <cell r="H220">
            <v>2146310.8990895292</v>
          </cell>
          <cell r="I220">
            <v>4.8493150684931505</v>
          </cell>
          <cell r="J220" t="str">
            <v>железобетон</v>
          </cell>
          <cell r="K220">
            <v>0</v>
          </cell>
          <cell r="L220">
            <v>30</v>
          </cell>
          <cell r="M220">
            <v>0.16164383561643836</v>
          </cell>
          <cell r="N220">
            <v>0</v>
          </cell>
          <cell r="O220">
            <v>0</v>
          </cell>
          <cell r="P220">
            <v>0.16164383561643836</v>
          </cell>
          <cell r="Q220">
            <v>1286557.94</v>
          </cell>
          <cell r="R220">
            <v>1205.2065011709601</v>
          </cell>
          <cell r="S220" t="str">
            <v>Не соответствует</v>
          </cell>
          <cell r="T220">
            <v>1799373</v>
          </cell>
          <cell r="U220">
            <v>1685.5953161592506</v>
          </cell>
          <cell r="V220">
            <v>1.3985946097382913</v>
          </cell>
          <cell r="W220" t="str">
            <v>Соответствует</v>
          </cell>
          <cell r="X220">
            <v>0</v>
          </cell>
          <cell r="Y220">
            <v>0</v>
          </cell>
          <cell r="Z220" t="str">
            <v/>
          </cell>
          <cell r="AA220" t="str">
            <v/>
          </cell>
          <cell r="AB220" t="e">
            <v>#VALUE!</v>
          </cell>
          <cell r="AC220" t="str">
            <v>Не рассчитывалась</v>
          </cell>
          <cell r="AD220">
            <v>2263429</v>
          </cell>
          <cell r="AE220">
            <v>2120.3081967213116</v>
          </cell>
          <cell r="AF220">
            <v>1.7592903744389468</v>
          </cell>
          <cell r="AG220">
            <v>1067.5</v>
          </cell>
          <cell r="AH220">
            <v>0</v>
          </cell>
          <cell r="AI220">
            <v>0</v>
          </cell>
          <cell r="AJ220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20">
            <v>1799373</v>
          </cell>
          <cell r="AM220" t="str">
            <v>По сроку службы</v>
          </cell>
        </row>
        <row r="221">
          <cell r="A221">
            <v>294</v>
          </cell>
          <cell r="B221">
            <v>634</v>
          </cell>
          <cell r="C221" t="str">
            <v>Освещение уличное (ул Комсомольская)</v>
          </cell>
          <cell r="D221">
            <v>29570</v>
          </cell>
          <cell r="E221">
            <v>29570</v>
          </cell>
          <cell r="F221">
            <v>676200</v>
          </cell>
          <cell r="G221">
            <v>13.261762999999998</v>
          </cell>
          <cell r="H221">
            <v>8967604.1405999996</v>
          </cell>
          <cell r="I221">
            <v>35.065753424657537</v>
          </cell>
          <cell r="J221" t="str">
            <v>Металл</v>
          </cell>
          <cell r="K221">
            <v>0</v>
          </cell>
          <cell r="L221">
            <v>25</v>
          </cell>
          <cell r="M221">
            <v>0.8</v>
          </cell>
          <cell r="N221">
            <v>0</v>
          </cell>
          <cell r="O221">
            <v>0</v>
          </cell>
          <cell r="P221">
            <v>0.8</v>
          </cell>
          <cell r="Q221">
            <v>236670</v>
          </cell>
          <cell r="R221" t="e">
            <v>#DIV/0!</v>
          </cell>
          <cell r="S221">
            <v>0</v>
          </cell>
          <cell r="T221">
            <v>1793521</v>
          </cell>
          <cell r="U221" t="e">
            <v>#DIV/0!</v>
          </cell>
          <cell r="V221">
            <v>7.5781510119575781</v>
          </cell>
          <cell r="W221">
            <v>0</v>
          </cell>
          <cell r="X221">
            <v>0</v>
          </cell>
          <cell r="Y221">
            <v>0</v>
          </cell>
          <cell r="Z221" t="str">
            <v/>
          </cell>
          <cell r="AA221" t="str">
            <v/>
          </cell>
          <cell r="AB221" t="e">
            <v>#VALUE!</v>
          </cell>
          <cell r="AC221">
            <v>0</v>
          </cell>
          <cell r="AD221" t="str">
            <v>Не рассчитывалась</v>
          </cell>
          <cell r="AE221" t="str">
            <v>Не рассчитывалась</v>
          </cell>
          <cell r="AF221" t="e">
            <v>#VALUE!</v>
          </cell>
          <cell r="AG221">
            <v>0</v>
          </cell>
          <cell r="AH221" t="str">
            <v>не будет использоваться</v>
          </cell>
          <cell r="AI221">
            <v>0</v>
          </cell>
          <cell r="AL221">
            <v>0</v>
          </cell>
          <cell r="AM221" t="str">
            <v>Не рассчитывалась</v>
          </cell>
        </row>
        <row r="222">
          <cell r="A222">
            <v>295</v>
          </cell>
          <cell r="B222">
            <v>635</v>
          </cell>
          <cell r="C222" t="str">
            <v>Освещение уличное (ул. Октябрьская)</v>
          </cell>
          <cell r="D222">
            <v>28839</v>
          </cell>
          <cell r="E222">
            <v>28839</v>
          </cell>
          <cell r="F222">
            <v>184500</v>
          </cell>
          <cell r="G222">
            <v>13.261762999999998</v>
          </cell>
          <cell r="H222">
            <v>2446795.2734999997</v>
          </cell>
          <cell r="I222">
            <v>37.06849315068493</v>
          </cell>
          <cell r="J222" t="str">
            <v>металл</v>
          </cell>
          <cell r="K222">
            <v>0</v>
          </cell>
          <cell r="L222">
            <v>25</v>
          </cell>
          <cell r="M222">
            <v>0.8</v>
          </cell>
          <cell r="N222">
            <v>0</v>
          </cell>
          <cell r="O222">
            <v>0</v>
          </cell>
          <cell r="P222">
            <v>0.8</v>
          </cell>
          <cell r="Q222">
            <v>0</v>
          </cell>
          <cell r="R222" t="e">
            <v>#DIV/0!</v>
          </cell>
          <cell r="S222">
            <v>0</v>
          </cell>
          <cell r="T222">
            <v>489359</v>
          </cell>
          <cell r="U222" t="e">
            <v>#DIV/0!</v>
          </cell>
          <cell r="V222" t="e">
            <v>#DIV/0!</v>
          </cell>
          <cell r="W222">
            <v>0</v>
          </cell>
          <cell r="X222">
            <v>0</v>
          </cell>
          <cell r="Y222">
            <v>0</v>
          </cell>
          <cell r="Z222" t="str">
            <v/>
          </cell>
          <cell r="AA222" t="str">
            <v/>
          </cell>
          <cell r="AB222" t="e">
            <v>#VALUE!</v>
          </cell>
          <cell r="AC222">
            <v>0</v>
          </cell>
          <cell r="AD222" t="str">
            <v>Не рассчитывалась</v>
          </cell>
          <cell r="AE222" t="str">
            <v>Не рассчитывалась</v>
          </cell>
          <cell r="AF222" t="e">
            <v>#VALUE!</v>
          </cell>
          <cell r="AG222">
            <v>0</v>
          </cell>
          <cell r="AH222" t="str">
            <v>не будет использоваться</v>
          </cell>
          <cell r="AI222">
            <v>0</v>
          </cell>
          <cell r="AL222">
            <v>0</v>
          </cell>
          <cell r="AM222" t="str">
            <v>Не рассчитывалась</v>
          </cell>
        </row>
        <row r="223">
          <cell r="A223">
            <v>296</v>
          </cell>
          <cell r="B223" t="str">
            <v>Р00008268</v>
          </cell>
          <cell r="C223" t="str">
            <v>Переходная галерея  на МТФ №3 к коровнику №3</v>
          </cell>
          <cell r="D223">
            <v>40381</v>
          </cell>
          <cell r="E223">
            <v>40381</v>
          </cell>
          <cell r="F223">
            <v>1792515.86</v>
          </cell>
          <cell r="G223">
            <v>1.4577409162717219</v>
          </cell>
          <cell r="H223">
            <v>2613023.7121879938</v>
          </cell>
          <cell r="I223">
            <v>5.4465753424657537</v>
          </cell>
          <cell r="J223" t="str">
            <v>железобетон</v>
          </cell>
          <cell r="K223">
            <v>0</v>
          </cell>
          <cell r="L223">
            <v>30</v>
          </cell>
          <cell r="M223">
            <v>0.18155251141552511</v>
          </cell>
          <cell r="N223">
            <v>0</v>
          </cell>
          <cell r="O223">
            <v>0</v>
          </cell>
          <cell r="P223">
            <v>0.18155251141552509</v>
          </cell>
          <cell r="Q223">
            <v>421768.56000000006</v>
          </cell>
          <cell r="R223">
            <v>3514.7380000000003</v>
          </cell>
          <cell r="S223" t="str">
            <v>Соответствует</v>
          </cell>
          <cell r="T223">
            <v>2138623</v>
          </cell>
          <cell r="U223">
            <v>17821.858333333334</v>
          </cell>
          <cell r="V223">
            <v>5.0706079182383812</v>
          </cell>
          <cell r="W223" t="str">
            <v>Не соответствует</v>
          </cell>
          <cell r="X223" t="str">
            <v>хорошее</v>
          </cell>
          <cell r="Y223">
            <v>0.1</v>
          </cell>
          <cell r="Z223">
            <v>2351721.3409691947</v>
          </cell>
          <cell r="AA223">
            <v>19597.677841409957</v>
          </cell>
          <cell r="AB223">
            <v>5.5758573872106405</v>
          </cell>
          <cell r="AC223" t="str">
            <v>Не соответствует</v>
          </cell>
          <cell r="AD223">
            <v>152761</v>
          </cell>
          <cell r="AE223">
            <v>1273.0083333333334</v>
          </cell>
          <cell r="AF223">
            <v>0.36219152987600589</v>
          </cell>
          <cell r="AG223">
            <v>120</v>
          </cell>
          <cell r="AH223" t="str">
            <v>будет использоваться</v>
          </cell>
          <cell r="AI223" t="str">
            <v>Уточнить состояние по фото</v>
          </cell>
          <cell r="AJ223" t="str">
            <v>Фото не предоставлено. Состояние определено по фото коровника №3 МТФ №3. Расчет по Ко-Инвесту.</v>
          </cell>
          <cell r="AL223">
            <v>152761</v>
          </cell>
          <cell r="AM223" t="str">
            <v>Ко-Инвест</v>
          </cell>
        </row>
        <row r="224">
          <cell r="A224">
            <v>297</v>
          </cell>
          <cell r="B224">
            <v>458</v>
          </cell>
          <cell r="C224" t="str">
            <v>Переходная галерея №1 МТФ№5  Литер: К Об.пл. 116,8 кв.м. Кад№  23:11:0702000:756</v>
          </cell>
          <cell r="D224">
            <v>40178</v>
          </cell>
          <cell r="E224">
            <v>40178</v>
          </cell>
          <cell r="F224">
            <v>64461.18</v>
          </cell>
          <cell r="G224">
            <v>1.6231310466138962</v>
          </cell>
          <cell r="H224">
            <v>104628.94255936675</v>
          </cell>
          <cell r="I224">
            <v>6.0027397260273974</v>
          </cell>
          <cell r="J224" t="str">
            <v>обшивка полимерным материалом</v>
          </cell>
          <cell r="K224">
            <v>0</v>
          </cell>
          <cell r="L224">
            <v>12</v>
          </cell>
          <cell r="M224">
            <v>0.50022831050228311</v>
          </cell>
          <cell r="N224">
            <v>0</v>
          </cell>
          <cell r="O224">
            <v>0</v>
          </cell>
          <cell r="P224">
            <v>0.50022831050228311</v>
          </cell>
          <cell r="Q224">
            <v>14558.980000000003</v>
          </cell>
          <cell r="R224">
            <v>124.64880136986305</v>
          </cell>
          <cell r="S224" t="str">
            <v>Не соответствует</v>
          </cell>
          <cell r="T224">
            <v>52291</v>
          </cell>
          <cell r="U224">
            <v>447.69691780821921</v>
          </cell>
          <cell r="V224">
            <v>3.5916664491605861</v>
          </cell>
          <cell r="W224" t="str">
            <v>Не соответствует</v>
          </cell>
          <cell r="X224">
            <v>0</v>
          </cell>
          <cell r="Y224">
            <v>0</v>
          </cell>
          <cell r="Z224" t="str">
            <v/>
          </cell>
          <cell r="AA224" t="str">
            <v/>
          </cell>
          <cell r="AB224" t="e">
            <v>#VALUE!</v>
          </cell>
          <cell r="AC224" t="str">
            <v>Не рассчитывалась</v>
          </cell>
          <cell r="AD224">
            <v>230707</v>
          </cell>
          <cell r="AE224">
            <v>1975.2311643835617</v>
          </cell>
          <cell r="AF224">
            <v>15.846371105668114</v>
          </cell>
          <cell r="AG224">
            <v>116.8</v>
          </cell>
          <cell r="AH224" t="str">
            <v>будет использоваться</v>
          </cell>
          <cell r="AI224" t="str">
            <v>Уточнить состояние по фото</v>
          </cell>
          <cell r="AJ224" t="str">
            <v>Фото не предоставлено. Расчет по Ко-Инвесту.</v>
          </cell>
          <cell r="AL224">
            <v>230707</v>
          </cell>
          <cell r="AM224" t="str">
            <v>Ко-Инвест</v>
          </cell>
        </row>
        <row r="225">
          <cell r="A225">
            <v>298</v>
          </cell>
          <cell r="B225" t="str">
            <v>Р00008008</v>
          </cell>
          <cell r="C225" t="str">
            <v>Переходная галерея №2   бр.5  Литер М Об.пл 497,3 кв.м Об.пл. 497,3 кв.м.Кад№  23:11:0702000:775</v>
          </cell>
          <cell r="D225">
            <v>40178</v>
          </cell>
          <cell r="E225">
            <v>40178</v>
          </cell>
          <cell r="F225">
            <v>997166.79</v>
          </cell>
          <cell r="G225">
            <v>1.6231310466138962</v>
          </cell>
          <cell r="H225">
            <v>1618532.3755013193</v>
          </cell>
          <cell r="I225">
            <v>6.0027397260273974</v>
          </cell>
          <cell r="J225" t="str">
            <v>обшивка полимерным материалом</v>
          </cell>
          <cell r="K225">
            <v>0</v>
          </cell>
          <cell r="L225">
            <v>12</v>
          </cell>
          <cell r="M225">
            <v>0.50022831050228311</v>
          </cell>
          <cell r="N225">
            <v>0</v>
          </cell>
          <cell r="O225">
            <v>0</v>
          </cell>
          <cell r="P225">
            <v>0.50022831050228311</v>
          </cell>
          <cell r="Q225">
            <v>152508.15000000002</v>
          </cell>
          <cell r="R225">
            <v>306.6723305851599</v>
          </cell>
          <cell r="S225" t="str">
            <v>Не соответствует</v>
          </cell>
          <cell r="T225">
            <v>808897</v>
          </cell>
          <cell r="U225">
            <v>1626.5775186004423</v>
          </cell>
          <cell r="V225">
            <v>5.3039591654609923</v>
          </cell>
          <cell r="W225" t="str">
            <v>Не соответствует</v>
          </cell>
          <cell r="X225">
            <v>0</v>
          </cell>
          <cell r="Y225">
            <v>0</v>
          </cell>
          <cell r="Z225" t="str">
            <v/>
          </cell>
          <cell r="AA225" t="str">
            <v/>
          </cell>
          <cell r="AB225" t="e">
            <v>#VALUE!</v>
          </cell>
          <cell r="AC225" t="str">
            <v>Не рассчитывалась</v>
          </cell>
          <cell r="AD225">
            <v>982283</v>
          </cell>
          <cell r="AE225">
            <v>1975.2322541725316</v>
          </cell>
          <cell r="AF225">
            <v>6.4408557837728662</v>
          </cell>
          <cell r="AG225">
            <v>497.3</v>
          </cell>
          <cell r="AH225" t="str">
            <v>будет использоваться</v>
          </cell>
          <cell r="AI225">
            <v>0</v>
          </cell>
          <cell r="AJ225" t="str">
            <v>Фото не предоставлено. Расчет по Ко-Инвесту.</v>
          </cell>
          <cell r="AL225">
            <v>982283</v>
          </cell>
          <cell r="AM225" t="str">
            <v>Ко-Инвест</v>
          </cell>
        </row>
        <row r="226">
          <cell r="A226">
            <v>299</v>
          </cell>
          <cell r="B226" t="str">
            <v>Р00008009</v>
          </cell>
          <cell r="C226" t="str">
            <v>Переходная галерея №3  МТФ№5 Об.пл. 239,7кв.м. Литер:Ж Кад№  23:11:0702000:765</v>
          </cell>
          <cell r="D226">
            <v>40178</v>
          </cell>
          <cell r="E226">
            <v>40178</v>
          </cell>
          <cell r="F226">
            <v>2101577.2400000002</v>
          </cell>
          <cell r="G226">
            <v>1.6231310466138962</v>
          </cell>
          <cell r="H226">
            <v>3411135.2651011436</v>
          </cell>
          <cell r="I226">
            <v>6.0027397260273974</v>
          </cell>
          <cell r="J226" t="str">
            <v>обшивка полимерным материалом</v>
          </cell>
          <cell r="K226">
            <v>0</v>
          </cell>
          <cell r="L226">
            <v>12</v>
          </cell>
          <cell r="M226">
            <v>0.50022831050228311</v>
          </cell>
          <cell r="N226">
            <v>0</v>
          </cell>
          <cell r="O226">
            <v>0</v>
          </cell>
          <cell r="P226">
            <v>0.50022831050228311</v>
          </cell>
          <cell r="Q226">
            <v>321417.56000000029</v>
          </cell>
          <cell r="R226">
            <v>1340.9159783062173</v>
          </cell>
          <cell r="S226" t="str">
            <v>Соответствует</v>
          </cell>
          <cell r="T226">
            <v>1704789</v>
          </cell>
          <cell r="U226">
            <v>7112.1777221526909</v>
          </cell>
          <cell r="V226">
            <v>5.3039697022153938</v>
          </cell>
          <cell r="W226" t="str">
            <v>Не соответствует</v>
          </cell>
          <cell r="X226">
            <v>0</v>
          </cell>
          <cell r="Y226">
            <v>0</v>
          </cell>
          <cell r="Z226" t="str">
            <v/>
          </cell>
          <cell r="AA226" t="str">
            <v/>
          </cell>
          <cell r="AB226" t="e">
            <v>#VALUE!</v>
          </cell>
          <cell r="AC226" t="str">
            <v>Не рассчитывалась</v>
          </cell>
          <cell r="AD226">
            <v>473463</v>
          </cell>
          <cell r="AE226">
            <v>1975.2315394242805</v>
          </cell>
          <cell r="AF226">
            <v>1.4730464632983946</v>
          </cell>
          <cell r="AG226">
            <v>239.7</v>
          </cell>
          <cell r="AH226" t="str">
            <v>будет использоваться</v>
          </cell>
          <cell r="AI226" t="str">
            <v>Уточнить состояние по фото</v>
          </cell>
          <cell r="AJ226" t="str">
            <v>Фото не предоставлено. Расчет по Ко-Инвесту.</v>
          </cell>
          <cell r="AL226">
            <v>473463</v>
          </cell>
          <cell r="AM226" t="str">
            <v>Ко-Инвест</v>
          </cell>
        </row>
        <row r="227">
          <cell r="A227">
            <v>300</v>
          </cell>
          <cell r="B227" t="str">
            <v>Р00009594</v>
          </cell>
          <cell r="C227" t="str">
            <v>Переходная галерея МТФ №3 Литер У  Кад№ 23:11:0702000:849</v>
          </cell>
          <cell r="D227">
            <v>41003</v>
          </cell>
          <cell r="E227">
            <v>41003</v>
          </cell>
          <cell r="F227">
            <v>344405.62</v>
          </cell>
          <cell r="G227">
            <v>1.1736089030206676</v>
          </cell>
          <cell r="H227">
            <v>404197.50188235287</v>
          </cell>
          <cell r="I227">
            <v>3.7424657534246575</v>
          </cell>
          <cell r="J227" t="str">
            <v>сэндвич панели</v>
          </cell>
          <cell r="K227">
            <v>0</v>
          </cell>
          <cell r="L227">
            <v>12</v>
          </cell>
          <cell r="M227">
            <v>0.31187214611872144</v>
          </cell>
          <cell r="N227">
            <v>0</v>
          </cell>
          <cell r="O227">
            <v>0</v>
          </cell>
          <cell r="P227">
            <v>0.31187214611872149</v>
          </cell>
          <cell r="Q227">
            <v>166125.1</v>
          </cell>
          <cell r="R227">
            <v>81.855186006405518</v>
          </cell>
          <cell r="S227" t="str">
            <v>Не соответствует</v>
          </cell>
          <cell r="T227">
            <v>278140</v>
          </cell>
          <cell r="U227">
            <v>137.04853412170485</v>
          </cell>
          <cell r="V227">
            <v>1.6742804067537054</v>
          </cell>
          <cell r="W227" t="str">
            <v>Не соответствует</v>
          </cell>
          <cell r="X227">
            <v>0</v>
          </cell>
          <cell r="Y227">
            <v>0</v>
          </cell>
          <cell r="Z227" t="str">
            <v/>
          </cell>
          <cell r="AA227" t="str">
            <v/>
          </cell>
          <cell r="AB227" t="e">
            <v>#VALUE!</v>
          </cell>
          <cell r="AC227" t="str">
            <v>Не рассчитывалась</v>
          </cell>
          <cell r="AD227">
            <v>5769740</v>
          </cell>
          <cell r="AE227">
            <v>2842.9366839122936</v>
          </cell>
          <cell r="AF227">
            <v>34.731295872809106</v>
          </cell>
          <cell r="AG227">
            <v>2029.5</v>
          </cell>
          <cell r="AH227" t="str">
            <v>будет использоваться</v>
          </cell>
          <cell r="AI227" t="str">
            <v>Уточнить состояние по фото</v>
          </cell>
          <cell r="AJ227" t="str">
            <v>Фото не предоставлено. Расчет по Ко-Инвесту.</v>
          </cell>
          <cell r="AL227">
            <v>5769740</v>
          </cell>
          <cell r="AM227" t="str">
            <v>Ко-Инвест</v>
          </cell>
        </row>
        <row r="228">
          <cell r="A228">
            <v>301</v>
          </cell>
          <cell r="B228" t="str">
            <v>Р00008443</v>
          </cell>
          <cell r="C228" t="str">
            <v>Площадка для приготовления кормосмеси  МТФ№3 Литер:VI  об.пл.1330,8 кв.м. Кад№ 23:11:0702000:773</v>
          </cell>
          <cell r="D228">
            <v>40599</v>
          </cell>
          <cell r="E228">
            <v>40599</v>
          </cell>
          <cell r="F228">
            <v>1833311</v>
          </cell>
          <cell r="G228">
            <v>1.4002276176024278</v>
          </cell>
          <cell r="H228">
            <v>2567052.6938543245</v>
          </cell>
          <cell r="I228">
            <v>4.8493150684931505</v>
          </cell>
          <cell r="J228" t="str">
            <v>ж/б плиты</v>
          </cell>
          <cell r="K228">
            <v>0</v>
          </cell>
          <cell r="L228">
            <v>20</v>
          </cell>
          <cell r="M228">
            <v>0.24246575342465754</v>
          </cell>
          <cell r="N228">
            <v>0</v>
          </cell>
          <cell r="O228">
            <v>0</v>
          </cell>
          <cell r="P228">
            <v>0.24246575342465748</v>
          </cell>
          <cell r="Q228">
            <v>1245841.1800000002</v>
          </cell>
          <cell r="R228">
            <v>936.15958821761365</v>
          </cell>
          <cell r="S228" t="str">
            <v>Соответствует</v>
          </cell>
          <cell r="T228">
            <v>1944630</v>
          </cell>
          <cell r="U228">
            <v>1461.248872858431</v>
          </cell>
          <cell r="V228">
            <v>1.5608971923692552</v>
          </cell>
          <cell r="W228" t="str">
            <v>Соответствует</v>
          </cell>
          <cell r="X228">
            <v>0</v>
          </cell>
          <cell r="Y228">
            <v>0</v>
          </cell>
          <cell r="Z228" t="str">
            <v/>
          </cell>
          <cell r="AA228" t="str">
            <v/>
          </cell>
          <cell r="AB228" t="e">
            <v>#VALUE!</v>
          </cell>
          <cell r="AC228" t="str">
            <v>Не рассчитывалась</v>
          </cell>
          <cell r="AD228">
            <v>3672216</v>
          </cell>
          <cell r="AE228">
            <v>2759.404869251578</v>
          </cell>
          <cell r="AF228">
            <v>2.9475795622681211</v>
          </cell>
          <cell r="AG228">
            <v>1330.8</v>
          </cell>
          <cell r="AH228">
            <v>0</v>
          </cell>
          <cell r="AI228">
            <v>0</v>
          </cell>
          <cell r="AJ228" t="str">
            <v>Фото не предоставлено. Чем обусловлено различие в удельной балансовой стоимости в 2 раза между этим объектом и объектами: Ц00001301, Ц00001302 и Ц00001303?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K228">
            <v>1</v>
          </cell>
          <cell r="AL228">
            <v>1944630</v>
          </cell>
          <cell r="AM228" t="str">
            <v>По сроку службы</v>
          </cell>
        </row>
        <row r="229">
          <cell r="A229">
            <v>303</v>
          </cell>
          <cell r="B229" t="str">
            <v>Ц00001302</v>
          </cell>
          <cell r="C229" t="str">
            <v>Площадка для сбора навоза №1 на МТФ№1 об.S-1400,8 кв.м.Литер VII Кад№ 23:11:0902000:334  (КС  МТФ№1)</v>
          </cell>
          <cell r="D229">
            <v>41898</v>
          </cell>
          <cell r="E229">
            <v>41898</v>
          </cell>
          <cell r="F229">
            <v>963123.61</v>
          </cell>
          <cell r="G229">
            <v>0.98151841510437443</v>
          </cell>
          <cell r="H229">
            <v>945323.55923680356</v>
          </cell>
          <cell r="I229">
            <v>1.2904109589041095</v>
          </cell>
          <cell r="J229" t="str">
            <v>железобетон</v>
          </cell>
          <cell r="K229">
            <v>0</v>
          </cell>
          <cell r="L229">
            <v>20</v>
          </cell>
          <cell r="M229">
            <v>6.4520547945205481E-2</v>
          </cell>
          <cell r="N229">
            <v>0</v>
          </cell>
          <cell r="O229">
            <v>0</v>
          </cell>
          <cell r="P229">
            <v>6.4520547945205453E-2</v>
          </cell>
          <cell r="Q229">
            <v>793160.56</v>
          </cell>
          <cell r="R229">
            <v>566.2197030268419</v>
          </cell>
          <cell r="S229" t="str">
            <v>Соответствует</v>
          </cell>
          <cell r="T229">
            <v>884331</v>
          </cell>
          <cell r="U229">
            <v>631.30425471159344</v>
          </cell>
          <cell r="V229">
            <v>1.1149457557496303</v>
          </cell>
          <cell r="W229" t="str">
            <v>Соответствует</v>
          </cell>
          <cell r="X229">
            <v>0</v>
          </cell>
          <cell r="Y229">
            <v>0</v>
          </cell>
          <cell r="Z229" t="str">
            <v/>
          </cell>
          <cell r="AA229" t="str">
            <v/>
          </cell>
          <cell r="AB229" t="e">
            <v>#VALUE!</v>
          </cell>
          <cell r="AC229" t="str">
            <v>Не рассчитывалась</v>
          </cell>
          <cell r="AD229">
            <v>4773353</v>
          </cell>
          <cell r="AE229">
            <v>3407.5906624785839</v>
          </cell>
          <cell r="AF229">
            <v>6.0181421527061305</v>
          </cell>
          <cell r="AG229">
            <v>1400.8</v>
          </cell>
          <cell r="AH229">
            <v>0</v>
          </cell>
          <cell r="AI229">
            <v>0</v>
          </cell>
          <cell r="AJ229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29">
            <v>884331</v>
          </cell>
          <cell r="AM229" t="str">
            <v>По сроку службы</v>
          </cell>
        </row>
        <row r="230">
          <cell r="A230">
            <v>304</v>
          </cell>
          <cell r="B230" t="str">
            <v>Ц00001301</v>
          </cell>
          <cell r="C230" t="str">
            <v>Площадка для сбора навоза №2  на МТФ№1 об.S-1410 кв.м.Литер VI Кад№ 23:11:0902000:288  (КС  МТФ№1)</v>
          </cell>
          <cell r="D230">
            <v>41898</v>
          </cell>
          <cell r="E230">
            <v>41898</v>
          </cell>
          <cell r="F230">
            <v>963123.61</v>
          </cell>
          <cell r="G230">
            <v>0.98151841510437443</v>
          </cell>
          <cell r="H230">
            <v>945323.55923680356</v>
          </cell>
          <cell r="I230">
            <v>1.2904109589041095</v>
          </cell>
          <cell r="J230" t="str">
            <v>бетонное покрытие</v>
          </cell>
          <cell r="K230">
            <v>0</v>
          </cell>
          <cell r="L230">
            <v>20</v>
          </cell>
          <cell r="M230">
            <v>6.4520547945205481E-2</v>
          </cell>
          <cell r="N230">
            <v>0</v>
          </cell>
          <cell r="O230">
            <v>0</v>
          </cell>
          <cell r="P230">
            <v>6.4520547945205453E-2</v>
          </cell>
          <cell r="Q230">
            <v>793160.56</v>
          </cell>
          <cell r="R230">
            <v>562.52521985815611</v>
          </cell>
          <cell r="S230" t="str">
            <v>Соответствует</v>
          </cell>
          <cell r="T230">
            <v>884331</v>
          </cell>
          <cell r="U230">
            <v>627.18510638297869</v>
          </cell>
          <cell r="V230">
            <v>1.1149457557496303</v>
          </cell>
          <cell r="W230" t="str">
            <v>Соответствует</v>
          </cell>
          <cell r="X230">
            <v>0</v>
          </cell>
          <cell r="Y230">
            <v>0</v>
          </cell>
          <cell r="Z230" t="str">
            <v/>
          </cell>
          <cell r="AA230" t="str">
            <v/>
          </cell>
          <cell r="AB230" t="e">
            <v>#VALUE!</v>
          </cell>
          <cell r="AC230" t="str">
            <v>Не рассчитывалась</v>
          </cell>
          <cell r="AD230">
            <v>4804703</v>
          </cell>
          <cell r="AE230">
            <v>3407.5907801418439</v>
          </cell>
          <cell r="AF230">
            <v>6.0576675673334028</v>
          </cell>
          <cell r="AG230">
            <v>1410</v>
          </cell>
          <cell r="AH230">
            <v>0</v>
          </cell>
          <cell r="AI230">
            <v>0</v>
          </cell>
          <cell r="AJ230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30">
            <v>884331</v>
          </cell>
          <cell r="AM230" t="str">
            <v>По сроку службы</v>
          </cell>
        </row>
        <row r="231">
          <cell r="A231">
            <v>305</v>
          </cell>
          <cell r="B231" t="str">
            <v>Ц00001303</v>
          </cell>
          <cell r="C231" t="str">
            <v>Площадка для сбора навоза №3  на МТФ№1об.S-1343,2 кв.м.Литер IV Кад№ 23:11:0902000:335  (КС  МТФ№1)</v>
          </cell>
          <cell r="D231">
            <v>41898</v>
          </cell>
          <cell r="E231">
            <v>41898</v>
          </cell>
          <cell r="F231">
            <v>963123.61</v>
          </cell>
          <cell r="G231">
            <v>0.98151841510437443</v>
          </cell>
          <cell r="H231">
            <v>945323.55923680356</v>
          </cell>
          <cell r="I231">
            <v>1.2904109589041095</v>
          </cell>
          <cell r="J231" t="str">
            <v>железобетон</v>
          </cell>
          <cell r="K231">
            <v>0</v>
          </cell>
          <cell r="L231">
            <v>20</v>
          </cell>
          <cell r="M231">
            <v>6.4520547945205481E-2</v>
          </cell>
          <cell r="N231">
            <v>0</v>
          </cell>
          <cell r="O231">
            <v>0</v>
          </cell>
          <cell r="P231">
            <v>6.4520547945205453E-2</v>
          </cell>
          <cell r="Q231">
            <v>793160.56</v>
          </cell>
          <cell r="R231">
            <v>590.50071471113756</v>
          </cell>
          <cell r="S231" t="str">
            <v>Соответствует</v>
          </cell>
          <cell r="T231">
            <v>884331</v>
          </cell>
          <cell r="U231">
            <v>658.37626563430615</v>
          </cell>
          <cell r="V231">
            <v>1.1149457557496303</v>
          </cell>
          <cell r="W231" t="str">
            <v>Соответствует</v>
          </cell>
          <cell r="X231">
            <v>0</v>
          </cell>
          <cell r="Y231">
            <v>0</v>
          </cell>
          <cell r="Z231" t="str">
            <v/>
          </cell>
          <cell r="AA231" t="str">
            <v/>
          </cell>
          <cell r="AB231" t="e">
            <v>#VALUE!</v>
          </cell>
          <cell r="AC231" t="str">
            <v>Не рассчитывалась</v>
          </cell>
          <cell r="AD231">
            <v>4577076</v>
          </cell>
          <cell r="AE231">
            <v>3407.5908278737343</v>
          </cell>
          <cell r="AF231">
            <v>5.770680276891226</v>
          </cell>
          <cell r="AG231">
            <v>1343.2</v>
          </cell>
          <cell r="AH231">
            <v>0</v>
          </cell>
          <cell r="AI231">
            <v>0</v>
          </cell>
          <cell r="AJ231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31">
            <v>884331</v>
          </cell>
          <cell r="AM231" t="str">
            <v>По сроку службы</v>
          </cell>
        </row>
        <row r="232">
          <cell r="A232">
            <v>306</v>
          </cell>
          <cell r="B232" t="str">
            <v>Ц00003365</v>
          </cell>
          <cell r="C232" t="str">
            <v>Площадка для хранения зерна  Мех.ток№1 (КС МТФ№1)</v>
          </cell>
          <cell r="D232">
            <v>41913</v>
          </cell>
          <cell r="E232">
            <v>41913</v>
          </cell>
          <cell r="F232">
            <v>44300.55</v>
          </cell>
          <cell r="G232">
            <v>0.98663458968190321</v>
          </cell>
          <cell r="H232">
            <v>43708.454971932639</v>
          </cell>
          <cell r="I232">
            <v>1.2493150684931507</v>
          </cell>
          <cell r="J232" t="str">
            <v>металл</v>
          </cell>
          <cell r="K232">
            <v>0</v>
          </cell>
          <cell r="L232">
            <v>20</v>
          </cell>
          <cell r="M232">
            <v>6.246575342465753E-2</v>
          </cell>
          <cell r="N232">
            <v>0</v>
          </cell>
          <cell r="O232">
            <v>0</v>
          </cell>
          <cell r="P232">
            <v>6.2465753424657544E-2</v>
          </cell>
          <cell r="Q232">
            <v>19492.270000000004</v>
          </cell>
          <cell r="R232">
            <v>54.145194444444456</v>
          </cell>
          <cell r="S232" t="str">
            <v>Не соответствует</v>
          </cell>
          <cell r="T232">
            <v>40978</v>
          </cell>
          <cell r="U232">
            <v>113.82777777777778</v>
          </cell>
          <cell r="V232">
            <v>2.1022692585317149</v>
          </cell>
          <cell r="W232" t="str">
            <v>Не соответствует</v>
          </cell>
          <cell r="X232">
            <v>0</v>
          </cell>
          <cell r="Y232">
            <v>0</v>
          </cell>
          <cell r="Z232" t="str">
            <v/>
          </cell>
          <cell r="AA232" t="str">
            <v/>
          </cell>
          <cell r="AB232" t="e">
            <v>#VALUE!</v>
          </cell>
          <cell r="AC232" t="str">
            <v>Не рассчитывалась</v>
          </cell>
          <cell r="AD232">
            <v>757419</v>
          </cell>
          <cell r="AE232">
            <v>2103.9416666666666</v>
          </cell>
          <cell r="AF232">
            <v>38.857403473274267</v>
          </cell>
          <cell r="AG232">
            <v>360</v>
          </cell>
          <cell r="AH232" t="str">
            <v>будет использоваться</v>
          </cell>
          <cell r="AI232">
            <v>0</v>
          </cell>
          <cell r="AJ232" t="str">
            <v>Фото не предоставлено. По данным Заказчика объект будет использоваться. Расчет по Ко-Инвесту.</v>
          </cell>
          <cell r="AL232">
            <v>757419</v>
          </cell>
          <cell r="AM232" t="str">
            <v>Ко-Инвест</v>
          </cell>
        </row>
        <row r="233">
          <cell r="A233">
            <v>307</v>
          </cell>
          <cell r="B233" t="str">
            <v>Ц00003204</v>
          </cell>
          <cell r="C233" t="str">
            <v>Подъезд к МТФ№3  (НП МТФ№3)</v>
          </cell>
          <cell r="D233">
            <v>41913</v>
          </cell>
          <cell r="E233">
            <v>41913</v>
          </cell>
          <cell r="F233">
            <v>456838.88</v>
          </cell>
          <cell r="G233">
            <v>0.98663458968190321</v>
          </cell>
          <cell r="H233">
            <v>450733.04091954022</v>
          </cell>
          <cell r="I233">
            <v>1.2493150684931507</v>
          </cell>
          <cell r="J233" t="str">
            <v>асфальтобетон</v>
          </cell>
          <cell r="K233">
            <v>0</v>
          </cell>
          <cell r="L233">
            <v>17</v>
          </cell>
          <cell r="M233">
            <v>7.3489121676067692E-2</v>
          </cell>
          <cell r="N233">
            <v>0</v>
          </cell>
          <cell r="O233">
            <v>0</v>
          </cell>
          <cell r="P233">
            <v>7.3489121676067692E-2</v>
          </cell>
          <cell r="Q233">
            <v>283980.88</v>
          </cell>
          <cell r="R233">
            <v>676.14495238095242</v>
          </cell>
          <cell r="S233" t="str">
            <v>Соответствует</v>
          </cell>
          <cell r="T233">
            <v>417609</v>
          </cell>
          <cell r="U233">
            <v>994.30714285714282</v>
          </cell>
          <cell r="V233">
            <v>1.47055322879484</v>
          </cell>
          <cell r="W233" t="str">
            <v>Соответствует</v>
          </cell>
          <cell r="X233">
            <v>0</v>
          </cell>
          <cell r="Y233">
            <v>0</v>
          </cell>
          <cell r="Z233" t="str">
            <v/>
          </cell>
          <cell r="AA233" t="str">
            <v/>
          </cell>
          <cell r="AB233" t="e">
            <v>#VALUE!</v>
          </cell>
          <cell r="AC233" t="str">
            <v>Не рассчитывалась</v>
          </cell>
          <cell r="AD233" t="str">
            <v>Не рассчитывалась</v>
          </cell>
          <cell r="AE233" t="str">
            <v>Не рассчитывалась</v>
          </cell>
          <cell r="AF233" t="e">
            <v>#VALUE!</v>
          </cell>
          <cell r="AG233">
            <v>420</v>
          </cell>
          <cell r="AH233">
            <v>0</v>
          </cell>
          <cell r="AI233">
            <v>0</v>
          </cell>
          <cell r="AJ233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33">
            <v>417609</v>
          </cell>
          <cell r="AM233" t="str">
            <v>По сроку службы</v>
          </cell>
        </row>
        <row r="234">
          <cell r="A234">
            <v>308</v>
          </cell>
          <cell r="B234" t="str">
            <v>Ц00001298</v>
          </cell>
          <cell r="C234" t="str">
            <v>Проезд №1 на МТФ№1 об.S-1156,4 кв.м. Литер IX  Кад№ 23:11:0902000:333   (КС  МТФ№1)</v>
          </cell>
          <cell r="D234">
            <v>41898</v>
          </cell>
          <cell r="E234">
            <v>41898</v>
          </cell>
          <cell r="F234">
            <v>963123.61</v>
          </cell>
          <cell r="G234">
            <v>0.98151841510437443</v>
          </cell>
          <cell r="H234">
            <v>945323.55923680356</v>
          </cell>
          <cell r="I234">
            <v>1.2904109589041095</v>
          </cell>
          <cell r="J234" t="str">
            <v>асфальтобетон</v>
          </cell>
          <cell r="K234">
            <v>0</v>
          </cell>
          <cell r="L234">
            <v>17</v>
          </cell>
          <cell r="M234">
            <v>7.5906526994359388E-2</v>
          </cell>
          <cell r="N234">
            <v>0</v>
          </cell>
          <cell r="O234">
            <v>0</v>
          </cell>
          <cell r="P234">
            <v>7.5906526994359402E-2</v>
          </cell>
          <cell r="Q234">
            <v>793160.56</v>
          </cell>
          <cell r="R234">
            <v>685.88772051193359</v>
          </cell>
          <cell r="S234" t="str">
            <v>Соответствует</v>
          </cell>
          <cell r="T234">
            <v>873567</v>
          </cell>
          <cell r="U234">
            <v>755.41940505015555</v>
          </cell>
          <cell r="V234">
            <v>1.1013747330048784</v>
          </cell>
          <cell r="W234" t="str">
            <v>Соответствует</v>
          </cell>
          <cell r="X234">
            <v>0</v>
          </cell>
          <cell r="Y234">
            <v>0</v>
          </cell>
          <cell r="Z234" t="str">
            <v/>
          </cell>
          <cell r="AA234" t="str">
            <v/>
          </cell>
          <cell r="AB234" t="e">
            <v>#VALUE!</v>
          </cell>
          <cell r="AC234" t="str">
            <v>Не рассчитывалась</v>
          </cell>
          <cell r="AD234" t="str">
            <v>Не рассчитывалась</v>
          </cell>
          <cell r="AE234" t="str">
            <v>Не рассчитывалась</v>
          </cell>
          <cell r="AF234" t="e">
            <v>#VALUE!</v>
          </cell>
          <cell r="AG234">
            <v>1156.4000000000001</v>
          </cell>
          <cell r="AH234">
            <v>0</v>
          </cell>
          <cell r="AI234">
            <v>0</v>
          </cell>
          <cell r="AJ234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34">
            <v>873567</v>
          </cell>
          <cell r="AM234" t="str">
            <v>По сроку службы</v>
          </cell>
        </row>
        <row r="235">
          <cell r="A235">
            <v>309</v>
          </cell>
          <cell r="B235" t="str">
            <v>Ц00001299</v>
          </cell>
          <cell r="C235" t="str">
            <v>Проезд №2 на МТФ№1 об.S-1456,8 кв.м. Литер V Кад№ 23:11:0902000:294   (КС  МТФ№1)</v>
          </cell>
          <cell r="D235">
            <v>41898</v>
          </cell>
          <cell r="E235">
            <v>41898</v>
          </cell>
          <cell r="F235">
            <v>963123.61</v>
          </cell>
          <cell r="G235">
            <v>0.98151841510437443</v>
          </cell>
          <cell r="H235">
            <v>945323.55923680356</v>
          </cell>
          <cell r="I235">
            <v>1.2904109589041095</v>
          </cell>
          <cell r="J235" t="str">
            <v>асфальтобетон</v>
          </cell>
          <cell r="K235">
            <v>0</v>
          </cell>
          <cell r="L235">
            <v>17</v>
          </cell>
          <cell r="M235">
            <v>7.5906526994359388E-2</v>
          </cell>
          <cell r="N235">
            <v>0</v>
          </cell>
          <cell r="O235">
            <v>0</v>
          </cell>
          <cell r="P235">
            <v>7.5906526994359402E-2</v>
          </cell>
          <cell r="Q235">
            <v>793160.56</v>
          </cell>
          <cell r="R235">
            <v>544.45398132894024</v>
          </cell>
          <cell r="S235" t="str">
            <v>Соответствует</v>
          </cell>
          <cell r="T235">
            <v>873567</v>
          </cell>
          <cell r="U235">
            <v>599.64785831960467</v>
          </cell>
          <cell r="V235">
            <v>1.1013747330048784</v>
          </cell>
          <cell r="W235" t="str">
            <v>Соответствует</v>
          </cell>
          <cell r="X235">
            <v>0</v>
          </cell>
          <cell r="Y235">
            <v>0</v>
          </cell>
          <cell r="Z235" t="str">
            <v/>
          </cell>
          <cell r="AA235" t="str">
            <v/>
          </cell>
          <cell r="AB235" t="e">
            <v>#VALUE!</v>
          </cell>
          <cell r="AC235" t="str">
            <v>Не рассчитывалась</v>
          </cell>
          <cell r="AD235" t="str">
            <v>Не рассчитывалась</v>
          </cell>
          <cell r="AE235" t="str">
            <v>Не рассчитывалась</v>
          </cell>
          <cell r="AF235" t="e">
            <v>#VALUE!</v>
          </cell>
          <cell r="AG235">
            <v>1456.8</v>
          </cell>
          <cell r="AH235">
            <v>0</v>
          </cell>
          <cell r="AI235">
            <v>0</v>
          </cell>
          <cell r="AJ235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35">
            <v>873567</v>
          </cell>
          <cell r="AM235" t="str">
            <v>По сроку службы</v>
          </cell>
        </row>
        <row r="236">
          <cell r="A236">
            <v>310</v>
          </cell>
          <cell r="B236" t="str">
            <v>Ц00001300</v>
          </cell>
          <cell r="C236" t="str">
            <v>Проезд №3 на МТФ№1 об.S-1271,6 кв.м. Литер  X  Кад№ 23:11:0902000:293   (КС  МТФ№1)</v>
          </cell>
          <cell r="D236">
            <v>41898</v>
          </cell>
          <cell r="E236">
            <v>41898</v>
          </cell>
          <cell r="F236">
            <v>963123.61</v>
          </cell>
          <cell r="G236">
            <v>0.98151841510437443</v>
          </cell>
          <cell r="H236">
            <v>945323.55923680356</v>
          </cell>
          <cell r="I236">
            <v>1.2904109589041095</v>
          </cell>
          <cell r="J236" t="str">
            <v>асфальтобетон</v>
          </cell>
          <cell r="K236">
            <v>0</v>
          </cell>
          <cell r="L236">
            <v>17</v>
          </cell>
          <cell r="M236">
            <v>7.5906526994359388E-2</v>
          </cell>
          <cell r="N236">
            <v>0</v>
          </cell>
          <cell r="O236">
            <v>0</v>
          </cell>
          <cell r="P236">
            <v>7.5906526994359402E-2</v>
          </cell>
          <cell r="Q236">
            <v>793160.56</v>
          </cell>
          <cell r="R236">
            <v>623.75004718464936</v>
          </cell>
          <cell r="S236" t="str">
            <v>Соответствует</v>
          </cell>
          <cell r="T236">
            <v>873567</v>
          </cell>
          <cell r="U236">
            <v>686.98254167977359</v>
          </cell>
          <cell r="V236">
            <v>1.1013747330048784</v>
          </cell>
          <cell r="W236" t="str">
            <v>Соответствует</v>
          </cell>
          <cell r="X236">
            <v>0</v>
          </cell>
          <cell r="Y236">
            <v>0</v>
          </cell>
          <cell r="Z236" t="str">
            <v/>
          </cell>
          <cell r="AA236" t="str">
            <v/>
          </cell>
          <cell r="AB236" t="e">
            <v>#VALUE!</v>
          </cell>
          <cell r="AC236" t="str">
            <v>Не рассчитывалась</v>
          </cell>
          <cell r="AD236" t="str">
            <v>Не рассчитывалась</v>
          </cell>
          <cell r="AE236" t="str">
            <v>Не рассчитывалась</v>
          </cell>
          <cell r="AF236" t="e">
            <v>#VALUE!</v>
          </cell>
          <cell r="AG236">
            <v>1271.5999999999999</v>
          </cell>
          <cell r="AH236">
            <v>0</v>
          </cell>
          <cell r="AI236">
            <v>0</v>
          </cell>
          <cell r="AJ236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36">
            <v>873567</v>
          </cell>
          <cell r="AM236" t="str">
            <v>По сроку службы</v>
          </cell>
        </row>
        <row r="237">
          <cell r="A237">
            <v>311</v>
          </cell>
          <cell r="B237" t="str">
            <v>Ц00001297</v>
          </cell>
          <cell r="C237" t="str">
            <v>Проезд №4 на МТФ№1 об.S-1190,5 кв.м. Литер VIII Кад№ 23:11:0902000:292   (КС  МТФ№1)</v>
          </cell>
          <cell r="D237">
            <v>41898</v>
          </cell>
          <cell r="E237">
            <v>41898</v>
          </cell>
          <cell r="F237">
            <v>963123.61</v>
          </cell>
          <cell r="G237">
            <v>0.98151841510437443</v>
          </cell>
          <cell r="H237">
            <v>945323.55923680356</v>
          </cell>
          <cell r="I237">
            <v>1.2904109589041095</v>
          </cell>
          <cell r="J237" t="str">
            <v>асфальтобетон</v>
          </cell>
          <cell r="K237">
            <v>0</v>
          </cell>
          <cell r="L237">
            <v>17</v>
          </cell>
          <cell r="M237">
            <v>7.5906526994359388E-2</v>
          </cell>
          <cell r="N237">
            <v>0</v>
          </cell>
          <cell r="O237">
            <v>0</v>
          </cell>
          <cell r="P237">
            <v>7.5906526994359402E-2</v>
          </cell>
          <cell r="Q237">
            <v>793160.56</v>
          </cell>
          <cell r="R237">
            <v>666.24154556908866</v>
          </cell>
          <cell r="S237" t="str">
            <v>Соответствует</v>
          </cell>
          <cell r="T237">
            <v>873567</v>
          </cell>
          <cell r="U237">
            <v>733.78160436791268</v>
          </cell>
          <cell r="V237">
            <v>1.1013747330048784</v>
          </cell>
          <cell r="W237" t="str">
            <v>Соответствует</v>
          </cell>
          <cell r="X237">
            <v>0</v>
          </cell>
          <cell r="Y237">
            <v>0</v>
          </cell>
          <cell r="Z237" t="str">
            <v/>
          </cell>
          <cell r="AA237" t="str">
            <v/>
          </cell>
          <cell r="AB237" t="e">
            <v>#VALUE!</v>
          </cell>
          <cell r="AC237" t="str">
            <v>Не рассчитывалась</v>
          </cell>
          <cell r="AD237" t="str">
            <v>Не рассчитывалась</v>
          </cell>
          <cell r="AE237" t="str">
            <v>Не рассчитывалась</v>
          </cell>
          <cell r="AF237" t="e">
            <v>#VALUE!</v>
          </cell>
          <cell r="AG237">
            <v>1190.5</v>
          </cell>
          <cell r="AH237">
            <v>0</v>
          </cell>
          <cell r="AI237">
            <v>0</v>
          </cell>
          <cell r="AJ237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37">
            <v>873567</v>
          </cell>
          <cell r="AM237" t="str">
            <v>По сроку службы</v>
          </cell>
        </row>
        <row r="238">
          <cell r="A238">
            <v>312</v>
          </cell>
          <cell r="B238" t="str">
            <v>Ц00003207</v>
          </cell>
          <cell r="C238" t="str">
            <v>Проезды и площадки (НП МТФ№2)</v>
          </cell>
          <cell r="D238">
            <v>41913</v>
          </cell>
          <cell r="E238">
            <v>41913</v>
          </cell>
          <cell r="F238">
            <v>1368556.54</v>
          </cell>
          <cell r="G238">
            <v>0.98663458968190321</v>
          </cell>
          <cell r="H238">
            <v>1350265.2202993853</v>
          </cell>
          <cell r="I238">
            <v>1.2493150684931507</v>
          </cell>
          <cell r="J238" t="str">
            <v>асфальтобетон</v>
          </cell>
          <cell r="K238">
            <v>0</v>
          </cell>
          <cell r="L238">
            <v>17</v>
          </cell>
          <cell r="M238">
            <v>7.3489121676067692E-2</v>
          </cell>
          <cell r="N238">
            <v>0</v>
          </cell>
          <cell r="O238">
            <v>0</v>
          </cell>
          <cell r="P238">
            <v>7.3489121676067692E-2</v>
          </cell>
          <cell r="Q238">
            <v>1262701.28</v>
          </cell>
          <cell r="R238">
            <v>1284.5384333672432</v>
          </cell>
          <cell r="S238" t="str">
            <v>Соответствует</v>
          </cell>
          <cell r="T238">
            <v>1251035</v>
          </cell>
          <cell r="U238">
            <v>1272.6703967446592</v>
          </cell>
          <cell r="V238">
            <v>0.99076085517233337</v>
          </cell>
          <cell r="W238" t="str">
            <v>Соответствует</v>
          </cell>
          <cell r="X238">
            <v>0</v>
          </cell>
          <cell r="Y238">
            <v>0</v>
          </cell>
          <cell r="Z238" t="str">
            <v/>
          </cell>
          <cell r="AA238" t="str">
            <v/>
          </cell>
          <cell r="AB238" t="e">
            <v>#VALUE!</v>
          </cell>
          <cell r="AC238" t="str">
            <v>Не рассчитывалась</v>
          </cell>
          <cell r="AD238" t="str">
            <v>Не рассчитывалась</v>
          </cell>
          <cell r="AE238" t="str">
            <v>Не рассчитывалась</v>
          </cell>
          <cell r="AF238" t="e">
            <v>#VALUE!</v>
          </cell>
          <cell r="AG238">
            <v>983</v>
          </cell>
          <cell r="AH238">
            <v>0</v>
          </cell>
          <cell r="AI238">
            <v>0</v>
          </cell>
          <cell r="AJ238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38">
            <v>1251035</v>
          </cell>
          <cell r="AM238" t="str">
            <v>По сроку службы</v>
          </cell>
        </row>
        <row r="239">
          <cell r="A239">
            <v>313</v>
          </cell>
          <cell r="B239">
            <v>2678</v>
          </cell>
          <cell r="C239" t="str">
            <v>Резервуар   39</v>
          </cell>
          <cell r="D239">
            <v>29570</v>
          </cell>
          <cell r="E239">
            <v>29570</v>
          </cell>
          <cell r="F239">
            <v>8000</v>
          </cell>
          <cell r="G239">
            <v>13.261762999999998</v>
          </cell>
          <cell r="H239">
            <v>106094.10399999999</v>
          </cell>
          <cell r="I239">
            <v>35.065753424657537</v>
          </cell>
          <cell r="J239" t="str">
            <v>Сталь</v>
          </cell>
          <cell r="K239">
            <v>0</v>
          </cell>
          <cell r="L239">
            <v>37</v>
          </cell>
          <cell r="M239">
            <v>0.8</v>
          </cell>
          <cell r="N239">
            <v>0</v>
          </cell>
          <cell r="O239">
            <v>0</v>
          </cell>
          <cell r="P239">
            <v>0.8</v>
          </cell>
          <cell r="Q239">
            <v>0</v>
          </cell>
          <cell r="R239" t="e">
            <v>#DIV/0!</v>
          </cell>
          <cell r="S239" t="str">
            <v>Не соответствует</v>
          </cell>
          <cell r="T239">
            <v>21219</v>
          </cell>
          <cell r="U239" t="e">
            <v>#DIV/0!</v>
          </cell>
          <cell r="V239" t="e">
            <v>#DIV/0!</v>
          </cell>
          <cell r="W239" t="str">
            <v>Соответствует</v>
          </cell>
          <cell r="X239">
            <v>0</v>
          </cell>
          <cell r="Y239">
            <v>0</v>
          </cell>
          <cell r="Z239" t="str">
            <v/>
          </cell>
          <cell r="AA239" t="str">
            <v/>
          </cell>
          <cell r="AB239" t="e">
            <v>#VALUE!</v>
          </cell>
          <cell r="AC239" t="str">
            <v>Не рассчитывалась</v>
          </cell>
          <cell r="AD239" t="str">
            <v>Не рассчитывалась</v>
          </cell>
          <cell r="AE239" t="str">
            <v>Не рассчитывалась</v>
          </cell>
          <cell r="AF239" t="e">
            <v>#VALUE!</v>
          </cell>
          <cell r="AG239">
            <v>0</v>
          </cell>
          <cell r="AH239" t="str">
            <v>будет использоваться</v>
          </cell>
          <cell r="AI239">
            <v>0</v>
          </cell>
          <cell r="AJ239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39">
            <v>21219</v>
          </cell>
          <cell r="AM239" t="str">
            <v>По сроку службы</v>
          </cell>
        </row>
        <row r="240">
          <cell r="A240">
            <v>314</v>
          </cell>
          <cell r="B240">
            <v>447</v>
          </cell>
          <cell r="C240" t="str">
            <v>Резервуар 326А</v>
          </cell>
          <cell r="D240">
            <v>28839</v>
          </cell>
          <cell r="E240">
            <v>28839</v>
          </cell>
          <cell r="F240">
            <v>3000</v>
          </cell>
          <cell r="G240">
            <v>13.261762999999998</v>
          </cell>
          <cell r="H240">
            <v>39785.288999999997</v>
          </cell>
          <cell r="I240">
            <v>37.06849315068493</v>
          </cell>
          <cell r="J240" t="str">
            <v>Сталь</v>
          </cell>
          <cell r="K240">
            <v>0</v>
          </cell>
          <cell r="L240">
            <v>37</v>
          </cell>
          <cell r="M240">
            <v>0.8</v>
          </cell>
          <cell r="N240">
            <v>0</v>
          </cell>
          <cell r="O240">
            <v>0</v>
          </cell>
          <cell r="P240">
            <v>0.8</v>
          </cell>
          <cell r="Q240">
            <v>0</v>
          </cell>
          <cell r="R240" t="e">
            <v>#DIV/0!</v>
          </cell>
          <cell r="S240" t="str">
            <v>Не соответствует</v>
          </cell>
          <cell r="T240">
            <v>7957</v>
          </cell>
          <cell r="U240" t="e">
            <v>#DIV/0!</v>
          </cell>
          <cell r="V240" t="e">
            <v>#DIV/0!</v>
          </cell>
          <cell r="W240" t="str">
            <v>Соответствует</v>
          </cell>
          <cell r="X240">
            <v>0</v>
          </cell>
          <cell r="Y240">
            <v>0</v>
          </cell>
          <cell r="Z240" t="str">
            <v/>
          </cell>
          <cell r="AA240" t="str">
            <v/>
          </cell>
          <cell r="AB240" t="e">
            <v>#VALUE!</v>
          </cell>
          <cell r="AC240" t="str">
            <v>Не рассчитывалась</v>
          </cell>
          <cell r="AD240" t="str">
            <v>Не рассчитывалась</v>
          </cell>
          <cell r="AE240" t="str">
            <v>Не рассчитывалась</v>
          </cell>
          <cell r="AF240" t="e">
            <v>#VALUE!</v>
          </cell>
          <cell r="AG240">
            <v>0</v>
          </cell>
          <cell r="AH240" t="str">
            <v>будет использоваться</v>
          </cell>
          <cell r="AI240">
            <v>0</v>
          </cell>
          <cell r="AJ240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40">
            <v>7957</v>
          </cell>
          <cell r="AM240" t="str">
            <v>По сроку службы</v>
          </cell>
        </row>
        <row r="241">
          <cell r="A241">
            <v>315</v>
          </cell>
          <cell r="B241">
            <v>486</v>
          </cell>
          <cell r="C241" t="str">
            <v>Резервуар-(236)</v>
          </cell>
          <cell r="D241">
            <v>27743</v>
          </cell>
          <cell r="E241">
            <v>27743</v>
          </cell>
          <cell r="F241">
            <v>5000</v>
          </cell>
          <cell r="G241">
            <v>13.261762999999998</v>
          </cell>
          <cell r="H241">
            <v>66308.814999999988</v>
          </cell>
          <cell r="I241">
            <v>40.07123287671233</v>
          </cell>
          <cell r="J241" t="str">
            <v>Сталь</v>
          </cell>
          <cell r="K241">
            <v>0</v>
          </cell>
          <cell r="L241">
            <v>37</v>
          </cell>
          <cell r="M241">
            <v>0.8</v>
          </cell>
          <cell r="N241">
            <v>0</v>
          </cell>
          <cell r="O241">
            <v>0</v>
          </cell>
          <cell r="P241">
            <v>0.8</v>
          </cell>
          <cell r="Q241">
            <v>0</v>
          </cell>
          <cell r="R241" t="e">
            <v>#DIV/0!</v>
          </cell>
          <cell r="S241" t="str">
            <v>Не соответствует</v>
          </cell>
          <cell r="T241">
            <v>13262</v>
          </cell>
          <cell r="U241" t="e">
            <v>#DIV/0!</v>
          </cell>
          <cell r="V241" t="e">
            <v>#DIV/0!</v>
          </cell>
          <cell r="W241" t="str">
            <v>Соответствует</v>
          </cell>
          <cell r="X241">
            <v>0</v>
          </cell>
          <cell r="Y241">
            <v>0</v>
          </cell>
          <cell r="Z241" t="str">
            <v/>
          </cell>
          <cell r="AA241" t="str">
            <v/>
          </cell>
          <cell r="AB241" t="e">
            <v>#VALUE!</v>
          </cell>
          <cell r="AC241" t="str">
            <v>Не рассчитывалась</v>
          </cell>
          <cell r="AD241" t="str">
            <v>Не рассчитывалась</v>
          </cell>
          <cell r="AE241" t="str">
            <v>Не рассчитывалась</v>
          </cell>
          <cell r="AF241" t="e">
            <v>#VALUE!</v>
          </cell>
          <cell r="AG241">
            <v>0</v>
          </cell>
          <cell r="AH241" t="str">
            <v>будет использоваться</v>
          </cell>
          <cell r="AI241">
            <v>0</v>
          </cell>
          <cell r="AJ241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41">
            <v>13262</v>
          </cell>
          <cell r="AM241" t="str">
            <v>По сроку службы</v>
          </cell>
        </row>
        <row r="242">
          <cell r="A242">
            <v>316</v>
          </cell>
          <cell r="B242">
            <v>487</v>
          </cell>
          <cell r="C242" t="str">
            <v>Резервуар-(237)</v>
          </cell>
          <cell r="D242">
            <v>27743</v>
          </cell>
          <cell r="E242">
            <v>27743</v>
          </cell>
          <cell r="F242">
            <v>5000</v>
          </cell>
          <cell r="G242">
            <v>13.261762999999998</v>
          </cell>
          <cell r="H242">
            <v>66308.814999999988</v>
          </cell>
          <cell r="I242">
            <v>40.07123287671233</v>
          </cell>
          <cell r="J242" t="str">
            <v>Сталь</v>
          </cell>
          <cell r="K242">
            <v>0</v>
          </cell>
          <cell r="L242">
            <v>37</v>
          </cell>
          <cell r="M242">
            <v>0.8</v>
          </cell>
          <cell r="N242">
            <v>0</v>
          </cell>
          <cell r="O242">
            <v>0</v>
          </cell>
          <cell r="P242">
            <v>0.8</v>
          </cell>
          <cell r="Q242">
            <v>0</v>
          </cell>
          <cell r="R242" t="e">
            <v>#DIV/0!</v>
          </cell>
          <cell r="S242" t="str">
            <v>Не соответствует</v>
          </cell>
          <cell r="T242">
            <v>13262</v>
          </cell>
          <cell r="U242" t="e">
            <v>#DIV/0!</v>
          </cell>
          <cell r="V242" t="e">
            <v>#DIV/0!</v>
          </cell>
          <cell r="W242" t="str">
            <v>Соответствует</v>
          </cell>
          <cell r="X242">
            <v>0</v>
          </cell>
          <cell r="Y242">
            <v>0</v>
          </cell>
          <cell r="Z242" t="str">
            <v/>
          </cell>
          <cell r="AA242" t="str">
            <v/>
          </cell>
          <cell r="AB242" t="e">
            <v>#VALUE!</v>
          </cell>
          <cell r="AC242" t="str">
            <v>Не рассчитывалась</v>
          </cell>
          <cell r="AD242" t="str">
            <v>Не рассчитывалась</v>
          </cell>
          <cell r="AE242" t="str">
            <v>Не рассчитывалась</v>
          </cell>
          <cell r="AF242" t="e">
            <v>#VALUE!</v>
          </cell>
          <cell r="AG242">
            <v>0</v>
          </cell>
          <cell r="AH242" t="str">
            <v>будет использоваться</v>
          </cell>
          <cell r="AI242">
            <v>0</v>
          </cell>
          <cell r="AJ242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42">
            <v>13262</v>
          </cell>
          <cell r="AM242" t="str">
            <v>По сроку службы</v>
          </cell>
        </row>
        <row r="243">
          <cell r="A243">
            <v>317</v>
          </cell>
          <cell r="B243">
            <v>489</v>
          </cell>
          <cell r="C243" t="str">
            <v>Резервуар-(239)</v>
          </cell>
          <cell r="D243">
            <v>27743</v>
          </cell>
          <cell r="E243">
            <v>27743</v>
          </cell>
          <cell r="F243">
            <v>5000</v>
          </cell>
          <cell r="G243">
            <v>13.261762999999998</v>
          </cell>
          <cell r="H243">
            <v>66308.814999999988</v>
          </cell>
          <cell r="I243">
            <v>40.07123287671233</v>
          </cell>
          <cell r="J243" t="str">
            <v>Сталь</v>
          </cell>
          <cell r="K243">
            <v>0</v>
          </cell>
          <cell r="L243">
            <v>37</v>
          </cell>
          <cell r="M243">
            <v>0.8</v>
          </cell>
          <cell r="N243">
            <v>0</v>
          </cell>
          <cell r="O243">
            <v>0</v>
          </cell>
          <cell r="P243">
            <v>0.8</v>
          </cell>
          <cell r="Q243">
            <v>0</v>
          </cell>
          <cell r="R243" t="e">
            <v>#DIV/0!</v>
          </cell>
          <cell r="S243" t="str">
            <v>Не соответствует</v>
          </cell>
          <cell r="T243">
            <v>13262</v>
          </cell>
          <cell r="U243" t="e">
            <v>#DIV/0!</v>
          </cell>
          <cell r="V243" t="e">
            <v>#DIV/0!</v>
          </cell>
          <cell r="W243" t="str">
            <v>Соответствует</v>
          </cell>
          <cell r="X243">
            <v>0</v>
          </cell>
          <cell r="Y243">
            <v>0</v>
          </cell>
          <cell r="Z243" t="str">
            <v/>
          </cell>
          <cell r="AA243" t="str">
            <v/>
          </cell>
          <cell r="AB243" t="e">
            <v>#VALUE!</v>
          </cell>
          <cell r="AC243" t="str">
            <v>Не рассчитывалась</v>
          </cell>
          <cell r="AD243" t="str">
            <v>Не рассчитывалась</v>
          </cell>
          <cell r="AE243" t="str">
            <v>Не рассчитывалась</v>
          </cell>
          <cell r="AF243" t="e">
            <v>#VALUE!</v>
          </cell>
          <cell r="AG243">
            <v>0</v>
          </cell>
          <cell r="AH243" t="str">
            <v>будет использоваться</v>
          </cell>
          <cell r="AI243">
            <v>0</v>
          </cell>
          <cell r="AJ243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43">
            <v>13262</v>
          </cell>
          <cell r="AM243" t="str">
            <v>По сроку службы</v>
          </cell>
        </row>
        <row r="244">
          <cell r="A244">
            <v>318</v>
          </cell>
          <cell r="B244">
            <v>490</v>
          </cell>
          <cell r="C244" t="str">
            <v>Резервуар-(240)</v>
          </cell>
          <cell r="D244">
            <v>29570</v>
          </cell>
          <cell r="E244">
            <v>29570</v>
          </cell>
          <cell r="F244">
            <v>12000</v>
          </cell>
          <cell r="G244">
            <v>13.261762999999998</v>
          </cell>
          <cell r="H244">
            <v>159141.15599999999</v>
          </cell>
          <cell r="I244">
            <v>35.065753424657537</v>
          </cell>
          <cell r="J244" t="str">
            <v>Сталь</v>
          </cell>
          <cell r="K244">
            <v>0</v>
          </cell>
          <cell r="L244">
            <v>37</v>
          </cell>
          <cell r="M244">
            <v>0.8</v>
          </cell>
          <cell r="N244">
            <v>0</v>
          </cell>
          <cell r="O244">
            <v>0</v>
          </cell>
          <cell r="P244">
            <v>0.8</v>
          </cell>
          <cell r="Q244">
            <v>0</v>
          </cell>
          <cell r="R244" t="e">
            <v>#DIV/0!</v>
          </cell>
          <cell r="S244" t="str">
            <v>Не соответствует</v>
          </cell>
          <cell r="T244">
            <v>31828</v>
          </cell>
          <cell r="U244" t="e">
            <v>#DIV/0!</v>
          </cell>
          <cell r="V244" t="e">
            <v>#DIV/0!</v>
          </cell>
          <cell r="W244" t="str">
            <v>Соответствует</v>
          </cell>
          <cell r="X244">
            <v>0</v>
          </cell>
          <cell r="Y244">
            <v>0</v>
          </cell>
          <cell r="Z244" t="str">
            <v/>
          </cell>
          <cell r="AA244" t="str">
            <v/>
          </cell>
          <cell r="AB244" t="e">
            <v>#VALUE!</v>
          </cell>
          <cell r="AC244" t="str">
            <v>Не рассчитывалась</v>
          </cell>
          <cell r="AD244" t="str">
            <v>Не рассчитывалась</v>
          </cell>
          <cell r="AE244" t="str">
            <v>Не рассчитывалась</v>
          </cell>
          <cell r="AF244" t="e">
            <v>#VALUE!</v>
          </cell>
          <cell r="AG244">
            <v>0</v>
          </cell>
          <cell r="AH244" t="str">
            <v>будет использоваться</v>
          </cell>
          <cell r="AI244">
            <v>0</v>
          </cell>
          <cell r="AJ244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44">
            <v>31828</v>
          </cell>
          <cell r="AM244" t="str">
            <v>По сроку службы</v>
          </cell>
        </row>
        <row r="245">
          <cell r="A245">
            <v>319</v>
          </cell>
          <cell r="B245">
            <v>491</v>
          </cell>
          <cell r="C245" t="str">
            <v>Резервуар-(241)</v>
          </cell>
          <cell r="D245">
            <v>27743</v>
          </cell>
          <cell r="E245">
            <v>27743</v>
          </cell>
          <cell r="F245">
            <v>5000</v>
          </cell>
          <cell r="G245">
            <v>13.261762999999998</v>
          </cell>
          <cell r="H245">
            <v>66308.814999999988</v>
          </cell>
          <cell r="I245">
            <v>40.07123287671233</v>
          </cell>
          <cell r="J245" t="str">
            <v>Сталь</v>
          </cell>
          <cell r="K245">
            <v>0</v>
          </cell>
          <cell r="L245">
            <v>37</v>
          </cell>
          <cell r="M245">
            <v>0.8</v>
          </cell>
          <cell r="N245">
            <v>0</v>
          </cell>
          <cell r="O245">
            <v>0</v>
          </cell>
          <cell r="P245">
            <v>0.8</v>
          </cell>
          <cell r="Q245">
            <v>0</v>
          </cell>
          <cell r="R245" t="e">
            <v>#DIV/0!</v>
          </cell>
          <cell r="S245" t="str">
            <v>Не соответствует</v>
          </cell>
          <cell r="T245">
            <v>13262</v>
          </cell>
          <cell r="U245" t="e">
            <v>#DIV/0!</v>
          </cell>
          <cell r="V245" t="e">
            <v>#DIV/0!</v>
          </cell>
          <cell r="W245" t="str">
            <v>Соответствует</v>
          </cell>
          <cell r="X245">
            <v>0</v>
          </cell>
          <cell r="Y245">
            <v>0</v>
          </cell>
          <cell r="Z245" t="str">
            <v/>
          </cell>
          <cell r="AA245" t="str">
            <v/>
          </cell>
          <cell r="AB245" t="e">
            <v>#VALUE!</v>
          </cell>
          <cell r="AC245" t="str">
            <v>Не рассчитывалась</v>
          </cell>
          <cell r="AD245" t="str">
            <v>Не рассчитывалась</v>
          </cell>
          <cell r="AE245" t="str">
            <v>Не рассчитывалась</v>
          </cell>
          <cell r="AF245" t="e">
            <v>#VALUE!</v>
          </cell>
          <cell r="AG245">
            <v>0</v>
          </cell>
          <cell r="AH245" t="str">
            <v>будет использоваться</v>
          </cell>
          <cell r="AI245">
            <v>0</v>
          </cell>
          <cell r="AJ245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45">
            <v>13262</v>
          </cell>
          <cell r="AM245" t="str">
            <v>По сроку службы</v>
          </cell>
        </row>
        <row r="246">
          <cell r="A246">
            <v>320</v>
          </cell>
          <cell r="B246">
            <v>492</v>
          </cell>
          <cell r="C246" t="str">
            <v>Резервуар-(242)</v>
          </cell>
          <cell r="D246">
            <v>27743</v>
          </cell>
          <cell r="E246">
            <v>27743</v>
          </cell>
          <cell r="F246">
            <v>5000</v>
          </cell>
          <cell r="G246">
            <v>13.261762999999998</v>
          </cell>
          <cell r="H246">
            <v>66308.814999999988</v>
          </cell>
          <cell r="I246">
            <v>40.07123287671233</v>
          </cell>
          <cell r="J246" t="str">
            <v>Сталь</v>
          </cell>
          <cell r="K246">
            <v>0</v>
          </cell>
          <cell r="L246">
            <v>37</v>
          </cell>
          <cell r="M246">
            <v>0.8</v>
          </cell>
          <cell r="N246">
            <v>0</v>
          </cell>
          <cell r="O246">
            <v>0</v>
          </cell>
          <cell r="P246">
            <v>0.8</v>
          </cell>
          <cell r="Q246">
            <v>0</v>
          </cell>
          <cell r="R246" t="e">
            <v>#DIV/0!</v>
          </cell>
          <cell r="S246" t="str">
            <v>Не соответствует</v>
          </cell>
          <cell r="T246">
            <v>13262</v>
          </cell>
          <cell r="U246" t="e">
            <v>#DIV/0!</v>
          </cell>
          <cell r="V246" t="e">
            <v>#DIV/0!</v>
          </cell>
          <cell r="W246" t="str">
            <v>Соответствует</v>
          </cell>
          <cell r="X246">
            <v>0</v>
          </cell>
          <cell r="Y246">
            <v>0</v>
          </cell>
          <cell r="Z246" t="str">
            <v/>
          </cell>
          <cell r="AA246" t="str">
            <v/>
          </cell>
          <cell r="AB246" t="e">
            <v>#VALUE!</v>
          </cell>
          <cell r="AC246" t="str">
            <v>Не рассчитывалась</v>
          </cell>
          <cell r="AD246" t="str">
            <v>Не рассчитывалась</v>
          </cell>
          <cell r="AE246" t="str">
            <v>Не рассчитывалась</v>
          </cell>
          <cell r="AF246" t="e">
            <v>#VALUE!</v>
          </cell>
          <cell r="AG246">
            <v>0</v>
          </cell>
          <cell r="AH246" t="str">
            <v>будет использоваться</v>
          </cell>
          <cell r="AI246">
            <v>0</v>
          </cell>
          <cell r="AJ246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46">
            <v>13262</v>
          </cell>
          <cell r="AM246" t="str">
            <v>По сроку службы</v>
          </cell>
        </row>
        <row r="247">
          <cell r="A247">
            <v>321</v>
          </cell>
          <cell r="B247">
            <v>493</v>
          </cell>
          <cell r="C247" t="str">
            <v>Резервуар-(243)</v>
          </cell>
          <cell r="D247">
            <v>27743</v>
          </cell>
          <cell r="E247">
            <v>27743</v>
          </cell>
          <cell r="F247">
            <v>5000</v>
          </cell>
          <cell r="G247">
            <v>13.261762999999998</v>
          </cell>
          <cell r="H247">
            <v>66308.814999999988</v>
          </cell>
          <cell r="I247">
            <v>40.07123287671233</v>
          </cell>
          <cell r="J247" t="str">
            <v>Сталь</v>
          </cell>
          <cell r="K247">
            <v>0</v>
          </cell>
          <cell r="L247">
            <v>37</v>
          </cell>
          <cell r="M247">
            <v>0.8</v>
          </cell>
          <cell r="N247">
            <v>0</v>
          </cell>
          <cell r="O247">
            <v>0</v>
          </cell>
          <cell r="P247">
            <v>0.8</v>
          </cell>
          <cell r="Q247">
            <v>0</v>
          </cell>
          <cell r="R247" t="e">
            <v>#DIV/0!</v>
          </cell>
          <cell r="S247" t="str">
            <v>Не соответствует</v>
          </cell>
          <cell r="T247">
            <v>13262</v>
          </cell>
          <cell r="U247" t="e">
            <v>#DIV/0!</v>
          </cell>
          <cell r="V247" t="e">
            <v>#DIV/0!</v>
          </cell>
          <cell r="W247" t="str">
            <v>Соответствует</v>
          </cell>
          <cell r="X247">
            <v>0</v>
          </cell>
          <cell r="Y247">
            <v>0</v>
          </cell>
          <cell r="Z247" t="str">
            <v/>
          </cell>
          <cell r="AA247" t="str">
            <v/>
          </cell>
          <cell r="AB247" t="e">
            <v>#VALUE!</v>
          </cell>
          <cell r="AC247" t="str">
            <v>Не рассчитывалась</v>
          </cell>
          <cell r="AD247" t="str">
            <v>Не рассчитывалась</v>
          </cell>
          <cell r="AE247" t="str">
            <v>Не рассчитывалась</v>
          </cell>
          <cell r="AF247" t="e">
            <v>#VALUE!</v>
          </cell>
          <cell r="AG247">
            <v>0</v>
          </cell>
          <cell r="AH247" t="str">
            <v>будет использоваться</v>
          </cell>
          <cell r="AI247">
            <v>0</v>
          </cell>
          <cell r="AJ247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47">
            <v>13262</v>
          </cell>
          <cell r="AM247" t="str">
            <v>По сроку службы</v>
          </cell>
        </row>
        <row r="248">
          <cell r="A248">
            <v>322</v>
          </cell>
          <cell r="B248">
            <v>494</v>
          </cell>
          <cell r="C248" t="str">
            <v>Резервуар-(244)</v>
          </cell>
          <cell r="D248">
            <v>27743</v>
          </cell>
          <cell r="E248">
            <v>27743</v>
          </cell>
          <cell r="F248">
            <v>5000</v>
          </cell>
          <cell r="G248">
            <v>13.261762999999998</v>
          </cell>
          <cell r="H248">
            <v>66308.814999999988</v>
          </cell>
          <cell r="I248">
            <v>40.07123287671233</v>
          </cell>
          <cell r="J248" t="str">
            <v>Сталь</v>
          </cell>
          <cell r="K248">
            <v>0</v>
          </cell>
          <cell r="L248">
            <v>37</v>
          </cell>
          <cell r="M248">
            <v>0.8</v>
          </cell>
          <cell r="N248">
            <v>0</v>
          </cell>
          <cell r="O248">
            <v>0</v>
          </cell>
          <cell r="P248">
            <v>0.8</v>
          </cell>
          <cell r="Q248">
            <v>0</v>
          </cell>
          <cell r="R248" t="e">
            <v>#DIV/0!</v>
          </cell>
          <cell r="S248" t="str">
            <v>Не соответствует</v>
          </cell>
          <cell r="T248">
            <v>13262</v>
          </cell>
          <cell r="U248" t="e">
            <v>#DIV/0!</v>
          </cell>
          <cell r="V248" t="e">
            <v>#DIV/0!</v>
          </cell>
          <cell r="W248" t="str">
            <v>Соответствует</v>
          </cell>
          <cell r="X248">
            <v>0</v>
          </cell>
          <cell r="Y248">
            <v>0</v>
          </cell>
          <cell r="Z248" t="str">
            <v/>
          </cell>
          <cell r="AA248" t="str">
            <v/>
          </cell>
          <cell r="AB248" t="e">
            <v>#VALUE!</v>
          </cell>
          <cell r="AC248" t="str">
            <v>Не рассчитывалась</v>
          </cell>
          <cell r="AD248" t="str">
            <v>Не рассчитывалась</v>
          </cell>
          <cell r="AE248" t="str">
            <v>Не рассчитывалась</v>
          </cell>
          <cell r="AF248" t="e">
            <v>#VALUE!</v>
          </cell>
          <cell r="AG248">
            <v>0</v>
          </cell>
          <cell r="AH248" t="str">
            <v>будет использоваться</v>
          </cell>
          <cell r="AI248">
            <v>0</v>
          </cell>
          <cell r="AJ248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48">
            <v>13262</v>
          </cell>
          <cell r="AM248" t="str">
            <v>По сроку службы</v>
          </cell>
        </row>
        <row r="249">
          <cell r="A249">
            <v>323</v>
          </cell>
          <cell r="B249">
            <v>495</v>
          </cell>
          <cell r="C249" t="str">
            <v>Резервуар-(245)</v>
          </cell>
          <cell r="D249">
            <v>27743</v>
          </cell>
          <cell r="E249">
            <v>27743</v>
          </cell>
          <cell r="F249">
            <v>5000</v>
          </cell>
          <cell r="G249">
            <v>13.261762999999998</v>
          </cell>
          <cell r="H249">
            <v>66308.814999999988</v>
          </cell>
          <cell r="I249">
            <v>40.07123287671233</v>
          </cell>
          <cell r="J249" t="str">
            <v>Сталь</v>
          </cell>
          <cell r="K249">
            <v>0</v>
          </cell>
          <cell r="L249">
            <v>37</v>
          </cell>
          <cell r="M249">
            <v>0.8</v>
          </cell>
          <cell r="N249">
            <v>0</v>
          </cell>
          <cell r="O249">
            <v>0</v>
          </cell>
          <cell r="P249">
            <v>0.8</v>
          </cell>
          <cell r="Q249">
            <v>0</v>
          </cell>
          <cell r="R249" t="e">
            <v>#DIV/0!</v>
          </cell>
          <cell r="S249" t="str">
            <v>Не соответствует</v>
          </cell>
          <cell r="T249">
            <v>13262</v>
          </cell>
          <cell r="U249" t="e">
            <v>#DIV/0!</v>
          </cell>
          <cell r="V249" t="e">
            <v>#DIV/0!</v>
          </cell>
          <cell r="W249" t="str">
            <v>Соответствует</v>
          </cell>
          <cell r="X249">
            <v>0</v>
          </cell>
          <cell r="Y249">
            <v>0</v>
          </cell>
          <cell r="Z249" t="str">
            <v/>
          </cell>
          <cell r="AA249" t="str">
            <v/>
          </cell>
          <cell r="AB249" t="e">
            <v>#VALUE!</v>
          </cell>
          <cell r="AC249" t="str">
            <v>Не рассчитывалась</v>
          </cell>
          <cell r="AD249" t="str">
            <v>Не рассчитывалась</v>
          </cell>
          <cell r="AE249" t="str">
            <v>Не рассчитывалась</v>
          </cell>
          <cell r="AF249" t="e">
            <v>#VALUE!</v>
          </cell>
          <cell r="AG249">
            <v>0</v>
          </cell>
          <cell r="AH249" t="str">
            <v>будет использоваться</v>
          </cell>
          <cell r="AI249">
            <v>0</v>
          </cell>
          <cell r="AJ249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49">
            <v>13262</v>
          </cell>
          <cell r="AM249" t="str">
            <v>По сроку службы</v>
          </cell>
        </row>
        <row r="250">
          <cell r="A250">
            <v>324</v>
          </cell>
          <cell r="B250">
            <v>496</v>
          </cell>
          <cell r="C250" t="str">
            <v>Резервуар-(246)</v>
          </cell>
          <cell r="D250">
            <v>27743</v>
          </cell>
          <cell r="E250">
            <v>27743</v>
          </cell>
          <cell r="F250">
            <v>5000</v>
          </cell>
          <cell r="G250">
            <v>13.261762999999998</v>
          </cell>
          <cell r="H250">
            <v>66308.814999999988</v>
          </cell>
          <cell r="I250">
            <v>40.07123287671233</v>
          </cell>
          <cell r="J250" t="str">
            <v>Сталь</v>
          </cell>
          <cell r="K250">
            <v>0</v>
          </cell>
          <cell r="L250">
            <v>37</v>
          </cell>
          <cell r="M250">
            <v>0.8</v>
          </cell>
          <cell r="N250">
            <v>0</v>
          </cell>
          <cell r="O250">
            <v>0</v>
          </cell>
          <cell r="P250">
            <v>0.8</v>
          </cell>
          <cell r="Q250">
            <v>0</v>
          </cell>
          <cell r="R250" t="e">
            <v>#DIV/0!</v>
          </cell>
          <cell r="S250" t="str">
            <v>Не соответствует</v>
          </cell>
          <cell r="T250">
            <v>13262</v>
          </cell>
          <cell r="U250" t="e">
            <v>#DIV/0!</v>
          </cell>
          <cell r="V250" t="e">
            <v>#DIV/0!</v>
          </cell>
          <cell r="W250" t="str">
            <v>Соответствует</v>
          </cell>
          <cell r="X250">
            <v>0</v>
          </cell>
          <cell r="Y250">
            <v>0</v>
          </cell>
          <cell r="Z250" t="str">
            <v/>
          </cell>
          <cell r="AA250" t="str">
            <v/>
          </cell>
          <cell r="AB250" t="e">
            <v>#VALUE!</v>
          </cell>
          <cell r="AC250" t="str">
            <v>Не рассчитывалась</v>
          </cell>
          <cell r="AD250" t="str">
            <v>Не рассчитывалась</v>
          </cell>
          <cell r="AE250" t="str">
            <v>Не рассчитывалась</v>
          </cell>
          <cell r="AF250" t="e">
            <v>#VALUE!</v>
          </cell>
          <cell r="AG250">
            <v>0</v>
          </cell>
          <cell r="AH250" t="str">
            <v>будет использоваться</v>
          </cell>
          <cell r="AI250">
            <v>0</v>
          </cell>
          <cell r="AJ250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50">
            <v>13262</v>
          </cell>
          <cell r="AM250" t="str">
            <v>По сроку службы</v>
          </cell>
        </row>
        <row r="251">
          <cell r="A251">
            <v>325</v>
          </cell>
          <cell r="B251">
            <v>497</v>
          </cell>
          <cell r="C251" t="str">
            <v>Резервуар-(247)</v>
          </cell>
          <cell r="D251">
            <v>27743</v>
          </cell>
          <cell r="E251">
            <v>27743</v>
          </cell>
          <cell r="F251">
            <v>5000</v>
          </cell>
          <cell r="G251">
            <v>13.261762999999998</v>
          </cell>
          <cell r="H251">
            <v>66308.814999999988</v>
          </cell>
          <cell r="I251">
            <v>40.07123287671233</v>
          </cell>
          <cell r="J251" t="str">
            <v>Сталь</v>
          </cell>
          <cell r="K251">
            <v>0</v>
          </cell>
          <cell r="L251">
            <v>37</v>
          </cell>
          <cell r="M251">
            <v>0.8</v>
          </cell>
          <cell r="N251">
            <v>0</v>
          </cell>
          <cell r="O251">
            <v>0</v>
          </cell>
          <cell r="P251">
            <v>0.8</v>
          </cell>
          <cell r="Q251">
            <v>0</v>
          </cell>
          <cell r="R251" t="e">
            <v>#DIV/0!</v>
          </cell>
          <cell r="S251" t="str">
            <v>Не соответствует</v>
          </cell>
          <cell r="T251">
            <v>13262</v>
          </cell>
          <cell r="U251" t="e">
            <v>#DIV/0!</v>
          </cell>
          <cell r="V251" t="e">
            <v>#DIV/0!</v>
          </cell>
          <cell r="W251" t="str">
            <v>Соответствует</v>
          </cell>
          <cell r="X251">
            <v>0</v>
          </cell>
          <cell r="Y251">
            <v>0</v>
          </cell>
          <cell r="Z251" t="str">
            <v/>
          </cell>
          <cell r="AA251" t="str">
            <v/>
          </cell>
          <cell r="AB251" t="e">
            <v>#VALUE!</v>
          </cell>
          <cell r="AC251" t="str">
            <v>Не рассчитывалась</v>
          </cell>
          <cell r="AD251" t="str">
            <v>Не рассчитывалась</v>
          </cell>
          <cell r="AE251" t="str">
            <v>Не рассчитывалась</v>
          </cell>
          <cell r="AF251" t="e">
            <v>#VALUE!</v>
          </cell>
          <cell r="AG251">
            <v>0</v>
          </cell>
          <cell r="AH251" t="str">
            <v>будет использоваться</v>
          </cell>
          <cell r="AI251">
            <v>0</v>
          </cell>
          <cell r="AJ251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51">
            <v>13262</v>
          </cell>
          <cell r="AM251" t="str">
            <v>По сроку службы</v>
          </cell>
        </row>
        <row r="252">
          <cell r="A252">
            <v>326</v>
          </cell>
          <cell r="B252">
            <v>498</v>
          </cell>
          <cell r="C252" t="str">
            <v>Резервуар-(248)</v>
          </cell>
          <cell r="D252">
            <v>27743</v>
          </cell>
          <cell r="E252">
            <v>27743</v>
          </cell>
          <cell r="F252">
            <v>5000</v>
          </cell>
          <cell r="G252">
            <v>13.261762999999998</v>
          </cell>
          <cell r="H252">
            <v>66308.814999999988</v>
          </cell>
          <cell r="I252">
            <v>40.07123287671233</v>
          </cell>
          <cell r="J252" t="str">
            <v>Сталь</v>
          </cell>
          <cell r="K252">
            <v>0</v>
          </cell>
          <cell r="L252">
            <v>37</v>
          </cell>
          <cell r="M252">
            <v>0.8</v>
          </cell>
          <cell r="N252">
            <v>0</v>
          </cell>
          <cell r="O252">
            <v>0</v>
          </cell>
          <cell r="P252">
            <v>0.8</v>
          </cell>
          <cell r="Q252">
            <v>0</v>
          </cell>
          <cell r="R252" t="e">
            <v>#DIV/0!</v>
          </cell>
          <cell r="S252" t="str">
            <v>Не соответствует</v>
          </cell>
          <cell r="T252">
            <v>13262</v>
          </cell>
          <cell r="U252" t="e">
            <v>#DIV/0!</v>
          </cell>
          <cell r="V252" t="e">
            <v>#DIV/0!</v>
          </cell>
          <cell r="W252" t="str">
            <v>Соответствует</v>
          </cell>
          <cell r="X252">
            <v>0</v>
          </cell>
          <cell r="Y252">
            <v>0</v>
          </cell>
          <cell r="Z252" t="str">
            <v/>
          </cell>
          <cell r="AA252" t="str">
            <v/>
          </cell>
          <cell r="AB252" t="e">
            <v>#VALUE!</v>
          </cell>
          <cell r="AC252" t="str">
            <v>Не рассчитывалась</v>
          </cell>
          <cell r="AD252" t="str">
            <v>Не рассчитывалась</v>
          </cell>
          <cell r="AE252" t="str">
            <v>Не рассчитывалась</v>
          </cell>
          <cell r="AF252" t="e">
            <v>#VALUE!</v>
          </cell>
          <cell r="AG252">
            <v>0</v>
          </cell>
          <cell r="AH252" t="str">
            <v>будет использоваться</v>
          </cell>
          <cell r="AI252">
            <v>0</v>
          </cell>
          <cell r="AJ252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52">
            <v>13262</v>
          </cell>
          <cell r="AM252" t="str">
            <v>По сроку службы</v>
          </cell>
        </row>
        <row r="253">
          <cell r="A253">
            <v>327</v>
          </cell>
          <cell r="B253">
            <v>500</v>
          </cell>
          <cell r="C253" t="str">
            <v>Резервуар-(250)</v>
          </cell>
          <cell r="D253">
            <v>27743</v>
          </cell>
          <cell r="E253">
            <v>27743</v>
          </cell>
          <cell r="F253">
            <v>5000</v>
          </cell>
          <cell r="G253">
            <v>13.261762999999998</v>
          </cell>
          <cell r="H253">
            <v>66308.814999999988</v>
          </cell>
          <cell r="I253">
            <v>40.07123287671233</v>
          </cell>
          <cell r="J253" t="str">
            <v>Сталь</v>
          </cell>
          <cell r="K253">
            <v>0</v>
          </cell>
          <cell r="L253">
            <v>37</v>
          </cell>
          <cell r="M253">
            <v>0.8</v>
          </cell>
          <cell r="N253">
            <v>0</v>
          </cell>
          <cell r="O253">
            <v>0</v>
          </cell>
          <cell r="P253">
            <v>0.8</v>
          </cell>
          <cell r="Q253">
            <v>0</v>
          </cell>
          <cell r="R253" t="e">
            <v>#DIV/0!</v>
          </cell>
          <cell r="S253" t="str">
            <v>Не соответствует</v>
          </cell>
          <cell r="T253">
            <v>13262</v>
          </cell>
          <cell r="U253" t="e">
            <v>#DIV/0!</v>
          </cell>
          <cell r="V253" t="e">
            <v>#DIV/0!</v>
          </cell>
          <cell r="W253" t="str">
            <v>Соответствует</v>
          </cell>
          <cell r="X253">
            <v>0</v>
          </cell>
          <cell r="Y253">
            <v>0</v>
          </cell>
          <cell r="Z253" t="str">
            <v/>
          </cell>
          <cell r="AA253" t="str">
            <v/>
          </cell>
          <cell r="AB253" t="e">
            <v>#VALUE!</v>
          </cell>
          <cell r="AC253" t="str">
            <v>Не рассчитывалась</v>
          </cell>
          <cell r="AD253" t="str">
            <v>Не рассчитывалась</v>
          </cell>
          <cell r="AE253" t="str">
            <v>Не рассчитывалась</v>
          </cell>
          <cell r="AF253" t="e">
            <v>#VALUE!</v>
          </cell>
          <cell r="AG253">
            <v>0</v>
          </cell>
          <cell r="AH253" t="str">
            <v>будет использоваться</v>
          </cell>
          <cell r="AI253">
            <v>0</v>
          </cell>
          <cell r="AJ253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53">
            <v>13262</v>
          </cell>
          <cell r="AM253" t="str">
            <v>По сроку службы</v>
          </cell>
        </row>
        <row r="254">
          <cell r="A254">
            <v>328</v>
          </cell>
          <cell r="B254">
            <v>501</v>
          </cell>
          <cell r="C254" t="str">
            <v>Резервуар-(253)</v>
          </cell>
          <cell r="D254">
            <v>27743</v>
          </cell>
          <cell r="E254">
            <v>27743</v>
          </cell>
          <cell r="F254">
            <v>5000</v>
          </cell>
          <cell r="G254">
            <v>13.261762999999998</v>
          </cell>
          <cell r="H254">
            <v>66308.814999999988</v>
          </cell>
          <cell r="I254">
            <v>40.07123287671233</v>
          </cell>
          <cell r="J254" t="str">
            <v>Сталь</v>
          </cell>
          <cell r="K254">
            <v>0</v>
          </cell>
          <cell r="L254">
            <v>37</v>
          </cell>
          <cell r="M254">
            <v>0.8</v>
          </cell>
          <cell r="N254">
            <v>0</v>
          </cell>
          <cell r="O254">
            <v>0</v>
          </cell>
          <cell r="P254">
            <v>0.8</v>
          </cell>
          <cell r="Q254">
            <v>0</v>
          </cell>
          <cell r="R254" t="e">
            <v>#DIV/0!</v>
          </cell>
          <cell r="S254" t="str">
            <v>Не соответствует</v>
          </cell>
          <cell r="T254">
            <v>13262</v>
          </cell>
          <cell r="U254" t="e">
            <v>#DIV/0!</v>
          </cell>
          <cell r="V254" t="e">
            <v>#DIV/0!</v>
          </cell>
          <cell r="W254" t="str">
            <v>Соответствует</v>
          </cell>
          <cell r="X254">
            <v>0</v>
          </cell>
          <cell r="Y254">
            <v>0</v>
          </cell>
          <cell r="Z254" t="str">
            <v/>
          </cell>
          <cell r="AA254" t="str">
            <v/>
          </cell>
          <cell r="AB254" t="e">
            <v>#VALUE!</v>
          </cell>
          <cell r="AC254" t="str">
            <v>Не рассчитывалась</v>
          </cell>
          <cell r="AD254" t="str">
            <v>Не рассчитывалась</v>
          </cell>
          <cell r="AE254" t="str">
            <v>Не рассчитывалась</v>
          </cell>
          <cell r="AF254" t="e">
            <v>#VALUE!</v>
          </cell>
          <cell r="AG254">
            <v>0</v>
          </cell>
          <cell r="AH254" t="str">
            <v>будет использоваться</v>
          </cell>
          <cell r="AI254">
            <v>0</v>
          </cell>
          <cell r="AJ254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54">
            <v>13262</v>
          </cell>
          <cell r="AM254" t="str">
            <v>По сроку службы</v>
          </cell>
        </row>
        <row r="255">
          <cell r="A255">
            <v>329</v>
          </cell>
          <cell r="B255">
            <v>461</v>
          </cell>
          <cell r="C255" t="str">
            <v>Резервуар-(288)</v>
          </cell>
          <cell r="D255">
            <v>28474</v>
          </cell>
          <cell r="E255">
            <v>28474</v>
          </cell>
          <cell r="F255">
            <v>6850</v>
          </cell>
          <cell r="G255">
            <v>13.261762999999998</v>
          </cell>
          <cell r="H255">
            <v>90843.076549999983</v>
          </cell>
          <cell r="I255">
            <v>38.06849315068493</v>
          </cell>
          <cell r="J255" t="str">
            <v>Сталь</v>
          </cell>
          <cell r="K255">
            <v>0</v>
          </cell>
          <cell r="L255">
            <v>37</v>
          </cell>
          <cell r="M255">
            <v>0.8</v>
          </cell>
          <cell r="N255">
            <v>0</v>
          </cell>
          <cell r="O255">
            <v>0</v>
          </cell>
          <cell r="P255">
            <v>0.8</v>
          </cell>
          <cell r="Q255">
            <v>0</v>
          </cell>
          <cell r="R255" t="e">
            <v>#DIV/0!</v>
          </cell>
          <cell r="S255" t="str">
            <v>Не соответствует</v>
          </cell>
          <cell r="T255">
            <v>18169</v>
          </cell>
          <cell r="U255" t="e">
            <v>#DIV/0!</v>
          </cell>
          <cell r="V255" t="e">
            <v>#DIV/0!</v>
          </cell>
          <cell r="W255" t="str">
            <v>Соответствует</v>
          </cell>
          <cell r="X255">
            <v>0</v>
          </cell>
          <cell r="Y255">
            <v>0</v>
          </cell>
          <cell r="Z255" t="str">
            <v/>
          </cell>
          <cell r="AA255" t="str">
            <v/>
          </cell>
          <cell r="AB255" t="e">
            <v>#VALUE!</v>
          </cell>
          <cell r="AC255" t="str">
            <v>Не рассчитывалась</v>
          </cell>
          <cell r="AD255" t="str">
            <v>Не рассчитывалась</v>
          </cell>
          <cell r="AE255" t="str">
            <v>Не рассчитывалась</v>
          </cell>
          <cell r="AF255" t="e">
            <v>#VALUE!</v>
          </cell>
          <cell r="AG255">
            <v>0</v>
          </cell>
          <cell r="AH255" t="str">
            <v>будет использоваться</v>
          </cell>
          <cell r="AI255">
            <v>0</v>
          </cell>
          <cell r="AJ255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55">
            <v>18169</v>
          </cell>
          <cell r="AM255" t="str">
            <v>По сроку службы</v>
          </cell>
        </row>
        <row r="256">
          <cell r="A256">
            <v>330</v>
          </cell>
          <cell r="B256">
            <v>474</v>
          </cell>
          <cell r="C256" t="str">
            <v>Резервуар-(295)</v>
          </cell>
          <cell r="D256">
            <v>29570</v>
          </cell>
          <cell r="E256">
            <v>29570</v>
          </cell>
          <cell r="F256">
            <v>10398</v>
          </cell>
          <cell r="G256">
            <v>13.261762999999998</v>
          </cell>
          <cell r="H256">
            <v>137895.811674</v>
          </cell>
          <cell r="I256">
            <v>35.065753424657537</v>
          </cell>
          <cell r="J256" t="str">
            <v>Сталь</v>
          </cell>
          <cell r="K256">
            <v>0</v>
          </cell>
          <cell r="L256">
            <v>37</v>
          </cell>
          <cell r="M256">
            <v>0.8</v>
          </cell>
          <cell r="N256">
            <v>0</v>
          </cell>
          <cell r="O256">
            <v>0</v>
          </cell>
          <cell r="P256">
            <v>0.8</v>
          </cell>
          <cell r="Q256">
            <v>0</v>
          </cell>
          <cell r="R256" t="e">
            <v>#DIV/0!</v>
          </cell>
          <cell r="S256" t="str">
            <v>Не соответствует</v>
          </cell>
          <cell r="T256">
            <v>27579</v>
          </cell>
          <cell r="U256" t="e">
            <v>#DIV/0!</v>
          </cell>
          <cell r="V256" t="e">
            <v>#DIV/0!</v>
          </cell>
          <cell r="W256" t="str">
            <v>Соответствует</v>
          </cell>
          <cell r="X256">
            <v>0</v>
          </cell>
          <cell r="Y256">
            <v>0</v>
          </cell>
          <cell r="Z256" t="str">
            <v/>
          </cell>
          <cell r="AA256" t="str">
            <v/>
          </cell>
          <cell r="AB256" t="e">
            <v>#VALUE!</v>
          </cell>
          <cell r="AC256" t="str">
            <v>Не рассчитывалась</v>
          </cell>
          <cell r="AD256" t="str">
            <v>Не рассчитывалась</v>
          </cell>
          <cell r="AE256" t="str">
            <v>Не рассчитывалась</v>
          </cell>
          <cell r="AF256" t="e">
            <v>#VALUE!</v>
          </cell>
          <cell r="AG256">
            <v>0</v>
          </cell>
          <cell r="AH256" t="str">
            <v>будет использоваться</v>
          </cell>
          <cell r="AI256">
            <v>0</v>
          </cell>
          <cell r="AJ256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56">
            <v>27579</v>
          </cell>
          <cell r="AM256" t="str">
            <v>По сроку службы</v>
          </cell>
        </row>
        <row r="257">
          <cell r="A257">
            <v>331</v>
          </cell>
          <cell r="B257">
            <v>475</v>
          </cell>
          <cell r="C257" t="str">
            <v>Резервуар-(296)</v>
          </cell>
          <cell r="D257">
            <v>29570</v>
          </cell>
          <cell r="E257">
            <v>29570</v>
          </cell>
          <cell r="F257">
            <v>10398</v>
          </cell>
          <cell r="G257">
            <v>13.261762999999998</v>
          </cell>
          <cell r="H257">
            <v>137895.811674</v>
          </cell>
          <cell r="I257">
            <v>35.065753424657537</v>
          </cell>
          <cell r="J257" t="str">
            <v>Сталь</v>
          </cell>
          <cell r="K257">
            <v>0</v>
          </cell>
          <cell r="L257">
            <v>37</v>
          </cell>
          <cell r="M257">
            <v>0.8</v>
          </cell>
          <cell r="N257">
            <v>0</v>
          </cell>
          <cell r="O257">
            <v>0</v>
          </cell>
          <cell r="P257">
            <v>0.8</v>
          </cell>
          <cell r="Q257">
            <v>0</v>
          </cell>
          <cell r="R257" t="e">
            <v>#DIV/0!</v>
          </cell>
          <cell r="S257" t="str">
            <v>Не соответствует</v>
          </cell>
          <cell r="T257">
            <v>27579</v>
          </cell>
          <cell r="U257" t="e">
            <v>#DIV/0!</v>
          </cell>
          <cell r="V257" t="e">
            <v>#DIV/0!</v>
          </cell>
          <cell r="W257" t="str">
            <v>Соответствует</v>
          </cell>
          <cell r="X257">
            <v>0</v>
          </cell>
          <cell r="Y257">
            <v>0</v>
          </cell>
          <cell r="Z257" t="str">
            <v/>
          </cell>
          <cell r="AA257" t="str">
            <v/>
          </cell>
          <cell r="AB257" t="e">
            <v>#VALUE!</v>
          </cell>
          <cell r="AC257" t="str">
            <v>Не рассчитывалась</v>
          </cell>
          <cell r="AD257" t="str">
            <v>Не рассчитывалась</v>
          </cell>
          <cell r="AE257" t="str">
            <v>Не рассчитывалась</v>
          </cell>
          <cell r="AF257" t="e">
            <v>#VALUE!</v>
          </cell>
          <cell r="AG257">
            <v>0</v>
          </cell>
          <cell r="AH257" t="str">
            <v>будет использоваться</v>
          </cell>
          <cell r="AI257">
            <v>0</v>
          </cell>
          <cell r="AJ257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57">
            <v>27579</v>
          </cell>
          <cell r="AM257" t="str">
            <v>По сроку службы</v>
          </cell>
        </row>
        <row r="258">
          <cell r="A258">
            <v>332</v>
          </cell>
          <cell r="B258">
            <v>477</v>
          </cell>
          <cell r="C258" t="str">
            <v>Резервуар-(298)</v>
          </cell>
          <cell r="D258">
            <v>29570</v>
          </cell>
          <cell r="E258">
            <v>29570</v>
          </cell>
          <cell r="F258">
            <v>10398</v>
          </cell>
          <cell r="G258">
            <v>13.261762999999998</v>
          </cell>
          <cell r="H258">
            <v>137895.811674</v>
          </cell>
          <cell r="I258">
            <v>35.065753424657537</v>
          </cell>
          <cell r="J258" t="str">
            <v>Сталь</v>
          </cell>
          <cell r="K258">
            <v>0</v>
          </cell>
          <cell r="L258">
            <v>37</v>
          </cell>
          <cell r="M258">
            <v>0.8</v>
          </cell>
          <cell r="N258">
            <v>0</v>
          </cell>
          <cell r="O258">
            <v>0</v>
          </cell>
          <cell r="P258">
            <v>0.8</v>
          </cell>
          <cell r="Q258">
            <v>0</v>
          </cell>
          <cell r="R258" t="e">
            <v>#DIV/0!</v>
          </cell>
          <cell r="S258" t="str">
            <v>Не соответствует</v>
          </cell>
          <cell r="T258">
            <v>27579</v>
          </cell>
          <cell r="U258" t="e">
            <v>#DIV/0!</v>
          </cell>
          <cell r="V258" t="e">
            <v>#DIV/0!</v>
          </cell>
          <cell r="W258" t="str">
            <v>Соответствует</v>
          </cell>
          <cell r="X258">
            <v>0</v>
          </cell>
          <cell r="Y258">
            <v>0</v>
          </cell>
          <cell r="Z258" t="str">
            <v/>
          </cell>
          <cell r="AA258" t="str">
            <v/>
          </cell>
          <cell r="AB258" t="e">
            <v>#VALUE!</v>
          </cell>
          <cell r="AC258" t="str">
            <v>Не рассчитывалась</v>
          </cell>
          <cell r="AD258" t="str">
            <v>Не рассчитывалась</v>
          </cell>
          <cell r="AE258" t="str">
            <v>Не рассчитывалась</v>
          </cell>
          <cell r="AF258" t="e">
            <v>#VALUE!</v>
          </cell>
          <cell r="AG258">
            <v>0</v>
          </cell>
          <cell r="AH258" t="str">
            <v>будет использоваться</v>
          </cell>
          <cell r="AI258">
            <v>0</v>
          </cell>
          <cell r="AJ258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58">
            <v>27579</v>
          </cell>
          <cell r="AM258" t="str">
            <v>По сроку службы</v>
          </cell>
        </row>
        <row r="259">
          <cell r="A259">
            <v>333</v>
          </cell>
          <cell r="B259">
            <v>478</v>
          </cell>
          <cell r="C259" t="str">
            <v>Резервуар-(299)</v>
          </cell>
          <cell r="D259">
            <v>29570</v>
          </cell>
          <cell r="E259">
            <v>29570</v>
          </cell>
          <cell r="F259">
            <v>10398</v>
          </cell>
          <cell r="G259">
            <v>13.261762999999998</v>
          </cell>
          <cell r="H259">
            <v>137895.811674</v>
          </cell>
          <cell r="I259">
            <v>35.065753424657537</v>
          </cell>
          <cell r="J259" t="str">
            <v>Сталь</v>
          </cell>
          <cell r="K259">
            <v>0</v>
          </cell>
          <cell r="L259">
            <v>37</v>
          </cell>
          <cell r="M259">
            <v>0.8</v>
          </cell>
          <cell r="N259">
            <v>0</v>
          </cell>
          <cell r="O259">
            <v>0</v>
          </cell>
          <cell r="P259">
            <v>0.8</v>
          </cell>
          <cell r="Q259">
            <v>0</v>
          </cell>
          <cell r="R259" t="e">
            <v>#DIV/0!</v>
          </cell>
          <cell r="S259" t="str">
            <v>Не соответствует</v>
          </cell>
          <cell r="T259">
            <v>27579</v>
          </cell>
          <cell r="U259" t="e">
            <v>#DIV/0!</v>
          </cell>
          <cell r="V259" t="e">
            <v>#DIV/0!</v>
          </cell>
          <cell r="W259" t="str">
            <v>Соответствует</v>
          </cell>
          <cell r="X259">
            <v>0</v>
          </cell>
          <cell r="Y259">
            <v>0</v>
          </cell>
          <cell r="Z259" t="str">
            <v/>
          </cell>
          <cell r="AA259" t="str">
            <v/>
          </cell>
          <cell r="AB259" t="e">
            <v>#VALUE!</v>
          </cell>
          <cell r="AC259" t="str">
            <v>Не рассчитывалась</v>
          </cell>
          <cell r="AD259" t="str">
            <v>Не рассчитывалась</v>
          </cell>
          <cell r="AE259" t="str">
            <v>Не рассчитывалась</v>
          </cell>
          <cell r="AF259" t="e">
            <v>#VALUE!</v>
          </cell>
          <cell r="AG259">
            <v>0</v>
          </cell>
          <cell r="AH259" t="str">
            <v>будет использоваться</v>
          </cell>
          <cell r="AI259">
            <v>0</v>
          </cell>
          <cell r="AJ259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59">
            <v>27579</v>
          </cell>
          <cell r="AM259" t="str">
            <v>По сроку службы</v>
          </cell>
        </row>
        <row r="260">
          <cell r="A260">
            <v>334</v>
          </cell>
          <cell r="B260">
            <v>479</v>
          </cell>
          <cell r="C260" t="str">
            <v>Резервуар-(300)</v>
          </cell>
          <cell r="D260">
            <v>29570</v>
          </cell>
          <cell r="E260">
            <v>29570</v>
          </cell>
          <cell r="F260">
            <v>10399</v>
          </cell>
          <cell r="G260">
            <v>13.261762999999998</v>
          </cell>
          <cell r="H260">
            <v>137909.07343699998</v>
          </cell>
          <cell r="I260">
            <v>35.065753424657537</v>
          </cell>
          <cell r="J260" t="str">
            <v>Сталь</v>
          </cell>
          <cell r="K260">
            <v>0</v>
          </cell>
          <cell r="L260">
            <v>37</v>
          </cell>
          <cell r="M260">
            <v>0.8</v>
          </cell>
          <cell r="N260">
            <v>0</v>
          </cell>
          <cell r="O260">
            <v>0</v>
          </cell>
          <cell r="P260">
            <v>0.8</v>
          </cell>
          <cell r="Q260">
            <v>0</v>
          </cell>
          <cell r="R260" t="e">
            <v>#DIV/0!</v>
          </cell>
          <cell r="S260" t="str">
            <v>Не соответствует</v>
          </cell>
          <cell r="T260">
            <v>27582</v>
          </cell>
          <cell r="U260" t="e">
            <v>#DIV/0!</v>
          </cell>
          <cell r="V260" t="e">
            <v>#DIV/0!</v>
          </cell>
          <cell r="W260" t="str">
            <v>Соответствует</v>
          </cell>
          <cell r="X260">
            <v>0</v>
          </cell>
          <cell r="Y260">
            <v>0</v>
          </cell>
          <cell r="Z260" t="str">
            <v/>
          </cell>
          <cell r="AA260" t="str">
            <v/>
          </cell>
          <cell r="AB260" t="e">
            <v>#VALUE!</v>
          </cell>
          <cell r="AC260" t="str">
            <v>Не рассчитывалась</v>
          </cell>
          <cell r="AD260" t="str">
            <v>Не рассчитывалась</v>
          </cell>
          <cell r="AE260" t="str">
            <v>Не рассчитывалась</v>
          </cell>
          <cell r="AF260" t="e">
            <v>#VALUE!</v>
          </cell>
          <cell r="AG260">
            <v>0</v>
          </cell>
          <cell r="AH260" t="str">
            <v>будет использоваться</v>
          </cell>
          <cell r="AI260">
            <v>0</v>
          </cell>
          <cell r="AJ260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60">
            <v>27582</v>
          </cell>
          <cell r="AM260" t="str">
            <v>По сроку службы</v>
          </cell>
        </row>
        <row r="261">
          <cell r="A261">
            <v>335</v>
          </cell>
          <cell r="B261">
            <v>480</v>
          </cell>
          <cell r="C261" t="str">
            <v>Резервуар-(301)</v>
          </cell>
          <cell r="D261">
            <v>29570</v>
          </cell>
          <cell r="E261">
            <v>29570</v>
          </cell>
          <cell r="F261">
            <v>10399</v>
          </cell>
          <cell r="G261">
            <v>13.261762999999998</v>
          </cell>
          <cell r="H261">
            <v>137909.07343699998</v>
          </cell>
          <cell r="I261">
            <v>35.065753424657537</v>
          </cell>
          <cell r="J261" t="str">
            <v>Сталь</v>
          </cell>
          <cell r="K261">
            <v>0</v>
          </cell>
          <cell r="L261">
            <v>37</v>
          </cell>
          <cell r="M261">
            <v>0.8</v>
          </cell>
          <cell r="N261">
            <v>0</v>
          </cell>
          <cell r="O261">
            <v>0</v>
          </cell>
          <cell r="P261">
            <v>0.8</v>
          </cell>
          <cell r="Q261">
            <v>0</v>
          </cell>
          <cell r="R261" t="e">
            <v>#DIV/0!</v>
          </cell>
          <cell r="S261" t="str">
            <v>Не соответствует</v>
          </cell>
          <cell r="T261">
            <v>27582</v>
          </cell>
          <cell r="U261" t="e">
            <v>#DIV/0!</v>
          </cell>
          <cell r="V261" t="e">
            <v>#DIV/0!</v>
          </cell>
          <cell r="W261" t="str">
            <v>Соответствует</v>
          </cell>
          <cell r="X261">
            <v>0</v>
          </cell>
          <cell r="Y261">
            <v>0</v>
          </cell>
          <cell r="Z261" t="str">
            <v/>
          </cell>
          <cell r="AA261" t="str">
            <v/>
          </cell>
          <cell r="AB261" t="e">
            <v>#VALUE!</v>
          </cell>
          <cell r="AC261" t="str">
            <v>Не рассчитывалась</v>
          </cell>
          <cell r="AD261" t="str">
            <v>Не рассчитывалась</v>
          </cell>
          <cell r="AE261" t="str">
            <v>Не рассчитывалась</v>
          </cell>
          <cell r="AF261" t="e">
            <v>#VALUE!</v>
          </cell>
          <cell r="AG261">
            <v>0</v>
          </cell>
          <cell r="AH261" t="str">
            <v>будет использоваться</v>
          </cell>
          <cell r="AI261">
            <v>0</v>
          </cell>
          <cell r="AJ261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61">
            <v>27582</v>
          </cell>
          <cell r="AM261" t="str">
            <v>По сроку службы</v>
          </cell>
        </row>
        <row r="262">
          <cell r="A262">
            <v>336</v>
          </cell>
          <cell r="B262">
            <v>481</v>
          </cell>
          <cell r="C262" t="str">
            <v>Резервуар-(302)</v>
          </cell>
          <cell r="D262">
            <v>29570</v>
          </cell>
          <cell r="E262">
            <v>29570</v>
          </cell>
          <cell r="F262">
            <v>10399</v>
          </cell>
          <cell r="G262">
            <v>13.261762999999998</v>
          </cell>
          <cell r="H262">
            <v>137909.07343699998</v>
          </cell>
          <cell r="I262">
            <v>35.065753424657537</v>
          </cell>
          <cell r="J262" t="str">
            <v>Сталь</v>
          </cell>
          <cell r="K262">
            <v>0</v>
          </cell>
          <cell r="L262">
            <v>37</v>
          </cell>
          <cell r="M262">
            <v>0.8</v>
          </cell>
          <cell r="N262">
            <v>0</v>
          </cell>
          <cell r="O262">
            <v>0</v>
          </cell>
          <cell r="P262">
            <v>0.8</v>
          </cell>
          <cell r="Q262">
            <v>0</v>
          </cell>
          <cell r="R262" t="e">
            <v>#DIV/0!</v>
          </cell>
          <cell r="S262" t="str">
            <v>Не соответствует</v>
          </cell>
          <cell r="T262">
            <v>27582</v>
          </cell>
          <cell r="U262" t="e">
            <v>#DIV/0!</v>
          </cell>
          <cell r="V262" t="e">
            <v>#DIV/0!</v>
          </cell>
          <cell r="W262" t="str">
            <v>Соответствует</v>
          </cell>
          <cell r="X262">
            <v>0</v>
          </cell>
          <cell r="Y262">
            <v>0</v>
          </cell>
          <cell r="Z262" t="str">
            <v/>
          </cell>
          <cell r="AA262" t="str">
            <v/>
          </cell>
          <cell r="AB262" t="e">
            <v>#VALUE!</v>
          </cell>
          <cell r="AC262" t="str">
            <v>Не рассчитывалась</v>
          </cell>
          <cell r="AD262" t="str">
            <v>Не рассчитывалась</v>
          </cell>
          <cell r="AE262" t="str">
            <v>Не рассчитывалась</v>
          </cell>
          <cell r="AF262" t="e">
            <v>#VALUE!</v>
          </cell>
          <cell r="AG262">
            <v>0</v>
          </cell>
          <cell r="AH262" t="str">
            <v>будет использоваться</v>
          </cell>
          <cell r="AI262">
            <v>0</v>
          </cell>
          <cell r="AJ262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62">
            <v>27582</v>
          </cell>
          <cell r="AM262" t="str">
            <v>По сроку службы</v>
          </cell>
        </row>
        <row r="263">
          <cell r="A263">
            <v>337</v>
          </cell>
          <cell r="B263">
            <v>482</v>
          </cell>
          <cell r="C263" t="str">
            <v>Резервуар-(303)</v>
          </cell>
          <cell r="D263">
            <v>29570</v>
          </cell>
          <cell r="E263">
            <v>29570</v>
          </cell>
          <cell r="F263">
            <v>10399</v>
          </cell>
          <cell r="G263">
            <v>13.261762999999998</v>
          </cell>
          <cell r="H263">
            <v>137909.07343699998</v>
          </cell>
          <cell r="I263">
            <v>35.065753424657537</v>
          </cell>
          <cell r="J263" t="str">
            <v>Сталь</v>
          </cell>
          <cell r="K263">
            <v>0</v>
          </cell>
          <cell r="L263">
            <v>37</v>
          </cell>
          <cell r="M263">
            <v>0.8</v>
          </cell>
          <cell r="N263">
            <v>0</v>
          </cell>
          <cell r="O263">
            <v>0</v>
          </cell>
          <cell r="P263">
            <v>0.8</v>
          </cell>
          <cell r="Q263">
            <v>0</v>
          </cell>
          <cell r="R263" t="e">
            <v>#DIV/0!</v>
          </cell>
          <cell r="S263" t="str">
            <v>Не соответствует</v>
          </cell>
          <cell r="T263">
            <v>27582</v>
          </cell>
          <cell r="U263" t="e">
            <v>#DIV/0!</v>
          </cell>
          <cell r="V263" t="e">
            <v>#DIV/0!</v>
          </cell>
          <cell r="W263" t="str">
            <v>Соответствует</v>
          </cell>
          <cell r="X263">
            <v>0</v>
          </cell>
          <cell r="Y263">
            <v>0</v>
          </cell>
          <cell r="Z263" t="str">
            <v/>
          </cell>
          <cell r="AA263" t="str">
            <v/>
          </cell>
          <cell r="AB263" t="e">
            <v>#VALUE!</v>
          </cell>
          <cell r="AC263" t="str">
            <v>Не рассчитывалась</v>
          </cell>
          <cell r="AD263" t="str">
            <v>Не рассчитывалась</v>
          </cell>
          <cell r="AE263" t="str">
            <v>Не рассчитывалась</v>
          </cell>
          <cell r="AF263" t="e">
            <v>#VALUE!</v>
          </cell>
          <cell r="AG263">
            <v>0</v>
          </cell>
          <cell r="AH263" t="str">
            <v>будет использоваться</v>
          </cell>
          <cell r="AI263">
            <v>0</v>
          </cell>
          <cell r="AJ263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63">
            <v>27582</v>
          </cell>
          <cell r="AM263" t="str">
            <v>По сроку службы</v>
          </cell>
        </row>
        <row r="264">
          <cell r="A264">
            <v>338</v>
          </cell>
          <cell r="B264">
            <v>439</v>
          </cell>
          <cell r="C264" t="str">
            <v>Резервуар-(320)</v>
          </cell>
          <cell r="D264">
            <v>28839</v>
          </cell>
          <cell r="E264">
            <v>28839</v>
          </cell>
          <cell r="F264">
            <v>6250</v>
          </cell>
          <cell r="G264">
            <v>13.261762999999998</v>
          </cell>
          <cell r="H264">
            <v>82886.018749999988</v>
          </cell>
          <cell r="I264">
            <v>37.06849315068493</v>
          </cell>
          <cell r="J264" t="str">
            <v>Сталь</v>
          </cell>
          <cell r="K264">
            <v>0</v>
          </cell>
          <cell r="L264">
            <v>37</v>
          </cell>
          <cell r="M264">
            <v>0.8</v>
          </cell>
          <cell r="N264">
            <v>0</v>
          </cell>
          <cell r="O264">
            <v>0</v>
          </cell>
          <cell r="P264">
            <v>0.8</v>
          </cell>
          <cell r="Q264">
            <v>0</v>
          </cell>
          <cell r="R264" t="e">
            <v>#DIV/0!</v>
          </cell>
          <cell r="S264" t="str">
            <v>Не соответствует</v>
          </cell>
          <cell r="T264">
            <v>16577</v>
          </cell>
          <cell r="U264" t="e">
            <v>#DIV/0!</v>
          </cell>
          <cell r="V264" t="e">
            <v>#DIV/0!</v>
          </cell>
          <cell r="W264" t="str">
            <v>Соответствует</v>
          </cell>
          <cell r="X264">
            <v>0</v>
          </cell>
          <cell r="Y264">
            <v>0</v>
          </cell>
          <cell r="Z264" t="str">
            <v/>
          </cell>
          <cell r="AA264" t="str">
            <v/>
          </cell>
          <cell r="AB264" t="e">
            <v>#VALUE!</v>
          </cell>
          <cell r="AC264" t="str">
            <v>Не рассчитывалась</v>
          </cell>
          <cell r="AD264" t="str">
            <v>Не рассчитывалась</v>
          </cell>
          <cell r="AE264" t="str">
            <v>Не рассчитывалась</v>
          </cell>
          <cell r="AF264" t="e">
            <v>#VALUE!</v>
          </cell>
          <cell r="AG264">
            <v>0</v>
          </cell>
          <cell r="AH264" t="str">
            <v>будет использоваться</v>
          </cell>
          <cell r="AI264">
            <v>0</v>
          </cell>
          <cell r="AJ264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64">
            <v>16577</v>
          </cell>
          <cell r="AM264" t="str">
            <v>По сроку службы</v>
          </cell>
        </row>
        <row r="265">
          <cell r="A265">
            <v>339</v>
          </cell>
          <cell r="B265">
            <v>440</v>
          </cell>
          <cell r="C265" t="str">
            <v>Резервуар-(321)</v>
          </cell>
          <cell r="D265">
            <v>28839</v>
          </cell>
          <cell r="E265">
            <v>28839</v>
          </cell>
          <cell r="F265">
            <v>6250</v>
          </cell>
          <cell r="G265">
            <v>13.261762999999998</v>
          </cell>
          <cell r="H265">
            <v>82886.018749999988</v>
          </cell>
          <cell r="I265">
            <v>37.06849315068493</v>
          </cell>
          <cell r="J265" t="str">
            <v>Сталь</v>
          </cell>
          <cell r="K265">
            <v>0</v>
          </cell>
          <cell r="L265">
            <v>37</v>
          </cell>
          <cell r="M265">
            <v>0.8</v>
          </cell>
          <cell r="N265">
            <v>0</v>
          </cell>
          <cell r="O265">
            <v>0</v>
          </cell>
          <cell r="P265">
            <v>0.8</v>
          </cell>
          <cell r="Q265">
            <v>0</v>
          </cell>
          <cell r="R265" t="e">
            <v>#DIV/0!</v>
          </cell>
          <cell r="S265" t="str">
            <v>Не соответствует</v>
          </cell>
          <cell r="T265">
            <v>16577</v>
          </cell>
          <cell r="U265" t="e">
            <v>#DIV/0!</v>
          </cell>
          <cell r="V265" t="e">
            <v>#DIV/0!</v>
          </cell>
          <cell r="W265" t="str">
            <v>Соответствует</v>
          </cell>
          <cell r="X265">
            <v>0</v>
          </cell>
          <cell r="Y265">
            <v>0</v>
          </cell>
          <cell r="Z265" t="str">
            <v/>
          </cell>
          <cell r="AA265" t="str">
            <v/>
          </cell>
          <cell r="AB265" t="e">
            <v>#VALUE!</v>
          </cell>
          <cell r="AC265" t="str">
            <v>Не рассчитывалась</v>
          </cell>
          <cell r="AD265" t="str">
            <v>Не рассчитывалась</v>
          </cell>
          <cell r="AE265" t="str">
            <v>Не рассчитывалась</v>
          </cell>
          <cell r="AF265" t="e">
            <v>#VALUE!</v>
          </cell>
          <cell r="AG265">
            <v>0</v>
          </cell>
          <cell r="AH265" t="str">
            <v>будет использоваться</v>
          </cell>
          <cell r="AI265">
            <v>0</v>
          </cell>
          <cell r="AJ265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65">
            <v>16577</v>
          </cell>
          <cell r="AM265" t="str">
            <v>По сроку службы</v>
          </cell>
        </row>
        <row r="266">
          <cell r="A266">
            <v>340</v>
          </cell>
          <cell r="B266">
            <v>441</v>
          </cell>
          <cell r="C266" t="str">
            <v>Резервуар-(322)</v>
          </cell>
          <cell r="D266">
            <v>28839</v>
          </cell>
          <cell r="E266">
            <v>28839</v>
          </cell>
          <cell r="F266">
            <v>6250</v>
          </cell>
          <cell r="G266">
            <v>13.261762999999998</v>
          </cell>
          <cell r="H266">
            <v>82886.018749999988</v>
          </cell>
          <cell r="I266">
            <v>37.06849315068493</v>
          </cell>
          <cell r="J266" t="str">
            <v>Сталь</v>
          </cell>
          <cell r="K266">
            <v>0</v>
          </cell>
          <cell r="L266">
            <v>37</v>
          </cell>
          <cell r="M266">
            <v>0.8</v>
          </cell>
          <cell r="N266">
            <v>0</v>
          </cell>
          <cell r="O266">
            <v>0</v>
          </cell>
          <cell r="P266">
            <v>0.8</v>
          </cell>
          <cell r="Q266">
            <v>0</v>
          </cell>
          <cell r="R266" t="e">
            <v>#DIV/0!</v>
          </cell>
          <cell r="S266" t="str">
            <v>Не соответствует</v>
          </cell>
          <cell r="T266">
            <v>16577</v>
          </cell>
          <cell r="U266" t="e">
            <v>#DIV/0!</v>
          </cell>
          <cell r="V266" t="e">
            <v>#DIV/0!</v>
          </cell>
          <cell r="W266" t="str">
            <v>Соответствует</v>
          </cell>
          <cell r="X266">
            <v>0</v>
          </cell>
          <cell r="Y266">
            <v>0</v>
          </cell>
          <cell r="Z266" t="str">
            <v/>
          </cell>
          <cell r="AA266" t="str">
            <v/>
          </cell>
          <cell r="AB266" t="e">
            <v>#VALUE!</v>
          </cell>
          <cell r="AC266" t="str">
            <v>Не рассчитывалась</v>
          </cell>
          <cell r="AD266" t="str">
            <v>Не рассчитывалась</v>
          </cell>
          <cell r="AE266" t="str">
            <v>Не рассчитывалась</v>
          </cell>
          <cell r="AF266" t="e">
            <v>#VALUE!</v>
          </cell>
          <cell r="AG266">
            <v>0</v>
          </cell>
          <cell r="AH266" t="str">
            <v>будет использоваться</v>
          </cell>
          <cell r="AI266">
            <v>0</v>
          </cell>
          <cell r="AJ266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66">
            <v>16577</v>
          </cell>
          <cell r="AM266" t="str">
            <v>По сроку службы</v>
          </cell>
        </row>
        <row r="267">
          <cell r="A267">
            <v>341</v>
          </cell>
          <cell r="B267">
            <v>442</v>
          </cell>
          <cell r="C267" t="str">
            <v>Резервуар-(323)</v>
          </cell>
          <cell r="D267">
            <v>28839</v>
          </cell>
          <cell r="E267">
            <v>28839</v>
          </cell>
          <cell r="F267">
            <v>6250</v>
          </cell>
          <cell r="G267">
            <v>13.261762999999998</v>
          </cell>
          <cell r="H267">
            <v>82886.018749999988</v>
          </cell>
          <cell r="I267">
            <v>37.06849315068493</v>
          </cell>
          <cell r="J267" t="str">
            <v>Сталь</v>
          </cell>
          <cell r="K267">
            <v>0</v>
          </cell>
          <cell r="L267">
            <v>37</v>
          </cell>
          <cell r="M267">
            <v>0.8</v>
          </cell>
          <cell r="N267">
            <v>0</v>
          </cell>
          <cell r="O267">
            <v>0</v>
          </cell>
          <cell r="P267">
            <v>0.8</v>
          </cell>
          <cell r="Q267">
            <v>0</v>
          </cell>
          <cell r="R267" t="e">
            <v>#DIV/0!</v>
          </cell>
          <cell r="S267" t="str">
            <v>Не соответствует</v>
          </cell>
          <cell r="T267">
            <v>16577</v>
          </cell>
          <cell r="U267" t="e">
            <v>#DIV/0!</v>
          </cell>
          <cell r="V267" t="e">
            <v>#DIV/0!</v>
          </cell>
          <cell r="W267" t="str">
            <v>Соответствует</v>
          </cell>
          <cell r="X267">
            <v>0</v>
          </cell>
          <cell r="Y267">
            <v>0</v>
          </cell>
          <cell r="Z267" t="str">
            <v/>
          </cell>
          <cell r="AA267" t="str">
            <v/>
          </cell>
          <cell r="AB267" t="e">
            <v>#VALUE!</v>
          </cell>
          <cell r="AC267" t="str">
            <v>Не рассчитывалась</v>
          </cell>
          <cell r="AD267" t="str">
            <v>Не рассчитывалась</v>
          </cell>
          <cell r="AE267" t="str">
            <v>Не рассчитывалась</v>
          </cell>
          <cell r="AF267" t="e">
            <v>#VALUE!</v>
          </cell>
          <cell r="AG267">
            <v>0</v>
          </cell>
          <cell r="AH267" t="str">
            <v>будет использоваться</v>
          </cell>
          <cell r="AI267">
            <v>0</v>
          </cell>
          <cell r="AJ267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67">
            <v>16577</v>
          </cell>
          <cell r="AM267" t="str">
            <v>По сроку службы</v>
          </cell>
        </row>
        <row r="268">
          <cell r="A268">
            <v>342</v>
          </cell>
          <cell r="B268">
            <v>468</v>
          </cell>
          <cell r="C268" t="str">
            <v>Резервуар-(331)</v>
          </cell>
          <cell r="D268">
            <v>31761</v>
          </cell>
          <cell r="E268">
            <v>31761</v>
          </cell>
          <cell r="F268">
            <v>1200</v>
          </cell>
          <cell r="G268">
            <v>13.261762999999998</v>
          </cell>
          <cell r="H268">
            <v>15914.115599999997</v>
          </cell>
          <cell r="I268">
            <v>29.063013698630137</v>
          </cell>
          <cell r="J268" t="str">
            <v>Сталь</v>
          </cell>
          <cell r="K268">
            <v>0</v>
          </cell>
          <cell r="L268">
            <v>37</v>
          </cell>
          <cell r="M268">
            <v>0.7854868567197334</v>
          </cell>
          <cell r="N268">
            <v>0</v>
          </cell>
          <cell r="O268">
            <v>0</v>
          </cell>
          <cell r="P268">
            <v>0.7854868567197334</v>
          </cell>
          <cell r="Q268">
            <v>0</v>
          </cell>
          <cell r="R268" t="e">
            <v>#DIV/0!</v>
          </cell>
          <cell r="S268" t="str">
            <v>Не соответствует</v>
          </cell>
          <cell r="T268">
            <v>3414</v>
          </cell>
          <cell r="U268" t="e">
            <v>#DIV/0!</v>
          </cell>
          <cell r="V268" t="e">
            <v>#DIV/0!</v>
          </cell>
          <cell r="W268" t="str">
            <v>Соответствует</v>
          </cell>
          <cell r="X268">
            <v>0</v>
          </cell>
          <cell r="Y268">
            <v>0</v>
          </cell>
          <cell r="Z268" t="str">
            <v/>
          </cell>
          <cell r="AA268" t="str">
            <v/>
          </cell>
          <cell r="AB268" t="e">
            <v>#VALUE!</v>
          </cell>
          <cell r="AC268" t="str">
            <v>Не рассчитывалась</v>
          </cell>
          <cell r="AD268" t="str">
            <v>Не рассчитывалась</v>
          </cell>
          <cell r="AE268" t="str">
            <v>Не рассчитывалась</v>
          </cell>
          <cell r="AF268" t="e">
            <v>#VALUE!</v>
          </cell>
          <cell r="AG268">
            <v>0</v>
          </cell>
          <cell r="AH268" t="str">
            <v>будет использоваться</v>
          </cell>
          <cell r="AI268">
            <v>0</v>
          </cell>
          <cell r="AJ268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68">
            <v>3414</v>
          </cell>
          <cell r="AM268" t="str">
            <v>По сроку службы</v>
          </cell>
        </row>
        <row r="269">
          <cell r="A269">
            <v>343</v>
          </cell>
          <cell r="B269">
            <v>456</v>
          </cell>
          <cell r="C269" t="str">
            <v>Резервуар-(404)</v>
          </cell>
          <cell r="D269">
            <v>28855</v>
          </cell>
          <cell r="E269">
            <v>28855</v>
          </cell>
          <cell r="F269">
            <v>4400</v>
          </cell>
          <cell r="G269">
            <v>13.261762999999998</v>
          </cell>
          <cell r="H269">
            <v>58351.757199999993</v>
          </cell>
          <cell r="I269">
            <v>37.024657534246572</v>
          </cell>
          <cell r="J269" t="str">
            <v>Сталь</v>
          </cell>
          <cell r="K269">
            <v>0</v>
          </cell>
          <cell r="L269">
            <v>37</v>
          </cell>
          <cell r="M269">
            <v>0.8</v>
          </cell>
          <cell r="N269">
            <v>0</v>
          </cell>
          <cell r="O269">
            <v>0</v>
          </cell>
          <cell r="P269">
            <v>0.8</v>
          </cell>
          <cell r="Q269">
            <v>0</v>
          </cell>
          <cell r="R269" t="e">
            <v>#DIV/0!</v>
          </cell>
          <cell r="S269" t="str">
            <v>Не соответствует</v>
          </cell>
          <cell r="T269">
            <v>11670</v>
          </cell>
          <cell r="U269" t="e">
            <v>#DIV/0!</v>
          </cell>
          <cell r="V269" t="e">
            <v>#DIV/0!</v>
          </cell>
          <cell r="W269" t="str">
            <v>Соответствует</v>
          </cell>
          <cell r="X269">
            <v>0</v>
          </cell>
          <cell r="Y269">
            <v>0</v>
          </cell>
          <cell r="Z269" t="str">
            <v/>
          </cell>
          <cell r="AA269" t="str">
            <v/>
          </cell>
          <cell r="AB269" t="e">
            <v>#VALUE!</v>
          </cell>
          <cell r="AC269" t="str">
            <v>Не рассчитывалась</v>
          </cell>
          <cell r="AD269" t="str">
            <v>Не рассчитывалась</v>
          </cell>
          <cell r="AE269" t="str">
            <v>Не рассчитывалась</v>
          </cell>
          <cell r="AF269" t="e">
            <v>#VALUE!</v>
          </cell>
          <cell r="AG269">
            <v>0</v>
          </cell>
          <cell r="AH269" t="str">
            <v>будет использоваться</v>
          </cell>
          <cell r="AI269">
            <v>0</v>
          </cell>
          <cell r="AJ269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69">
            <v>11670</v>
          </cell>
          <cell r="AM269" t="str">
            <v>По сроку службы</v>
          </cell>
        </row>
        <row r="270">
          <cell r="A270">
            <v>344</v>
          </cell>
          <cell r="B270">
            <v>444</v>
          </cell>
          <cell r="C270" t="str">
            <v>Резервуар-325</v>
          </cell>
          <cell r="D270">
            <v>28839</v>
          </cell>
          <cell r="E270">
            <v>28839</v>
          </cell>
          <cell r="F270">
            <v>5000</v>
          </cell>
          <cell r="G270">
            <v>13.261762999999998</v>
          </cell>
          <cell r="H270">
            <v>66308.814999999988</v>
          </cell>
          <cell r="I270">
            <v>37.06849315068493</v>
          </cell>
          <cell r="J270" t="str">
            <v>Сталь</v>
          </cell>
          <cell r="K270">
            <v>0</v>
          </cell>
          <cell r="L270">
            <v>37</v>
          </cell>
          <cell r="M270">
            <v>0.8</v>
          </cell>
          <cell r="N270">
            <v>0</v>
          </cell>
          <cell r="O270">
            <v>0</v>
          </cell>
          <cell r="P270">
            <v>0.8</v>
          </cell>
          <cell r="Q270">
            <v>0</v>
          </cell>
          <cell r="R270" t="e">
            <v>#DIV/0!</v>
          </cell>
          <cell r="S270" t="str">
            <v>Не соответствует</v>
          </cell>
          <cell r="T270">
            <v>13262</v>
          </cell>
          <cell r="U270" t="e">
            <v>#DIV/0!</v>
          </cell>
          <cell r="V270" t="e">
            <v>#DIV/0!</v>
          </cell>
          <cell r="W270" t="str">
            <v>Соответствует</v>
          </cell>
          <cell r="X270">
            <v>0</v>
          </cell>
          <cell r="Y270">
            <v>0</v>
          </cell>
          <cell r="Z270" t="str">
            <v/>
          </cell>
          <cell r="AA270" t="str">
            <v/>
          </cell>
          <cell r="AB270" t="e">
            <v>#VALUE!</v>
          </cell>
          <cell r="AC270" t="str">
            <v>Не рассчитывалась</v>
          </cell>
          <cell r="AD270" t="str">
            <v>Не рассчитывалась</v>
          </cell>
          <cell r="AE270" t="str">
            <v>Не рассчитывалась</v>
          </cell>
          <cell r="AF270" t="e">
            <v>#VALUE!</v>
          </cell>
          <cell r="AG270">
            <v>0</v>
          </cell>
          <cell r="AH270" t="str">
            <v>будет использоваться</v>
          </cell>
          <cell r="AI270">
            <v>0</v>
          </cell>
          <cell r="AJ270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70">
            <v>13262</v>
          </cell>
          <cell r="AM270" t="str">
            <v>По сроку службы</v>
          </cell>
        </row>
        <row r="271">
          <cell r="A271">
            <v>345</v>
          </cell>
          <cell r="B271">
            <v>467</v>
          </cell>
          <cell r="C271" t="str">
            <v>Резервуар-481"а"</v>
          </cell>
          <cell r="D271">
            <v>28474</v>
          </cell>
          <cell r="E271">
            <v>28474</v>
          </cell>
          <cell r="F271">
            <v>6000</v>
          </cell>
          <cell r="G271">
            <v>13.261762999999998</v>
          </cell>
          <cell r="H271">
            <v>79570.577999999994</v>
          </cell>
          <cell r="I271">
            <v>38.06849315068493</v>
          </cell>
          <cell r="J271" t="str">
            <v>Сталь</v>
          </cell>
          <cell r="K271">
            <v>0</v>
          </cell>
          <cell r="L271">
            <v>37</v>
          </cell>
          <cell r="M271">
            <v>0.8</v>
          </cell>
          <cell r="N271">
            <v>0</v>
          </cell>
          <cell r="O271">
            <v>0</v>
          </cell>
          <cell r="P271">
            <v>0.8</v>
          </cell>
          <cell r="Q271">
            <v>0</v>
          </cell>
          <cell r="R271" t="e">
            <v>#DIV/0!</v>
          </cell>
          <cell r="S271" t="str">
            <v>Не соответствует</v>
          </cell>
          <cell r="T271">
            <v>15914</v>
          </cell>
          <cell r="U271" t="e">
            <v>#DIV/0!</v>
          </cell>
          <cell r="V271" t="e">
            <v>#DIV/0!</v>
          </cell>
          <cell r="W271" t="str">
            <v>Соответствует</v>
          </cell>
          <cell r="X271">
            <v>0</v>
          </cell>
          <cell r="Y271">
            <v>0</v>
          </cell>
          <cell r="Z271" t="str">
            <v/>
          </cell>
          <cell r="AA271" t="str">
            <v/>
          </cell>
          <cell r="AB271" t="e">
            <v>#VALUE!</v>
          </cell>
          <cell r="AC271" t="str">
            <v>Не рассчитывалась</v>
          </cell>
          <cell r="AD271" t="str">
            <v>Не рассчитывалась</v>
          </cell>
          <cell r="AE271" t="str">
            <v>Не рассчитывалась</v>
          </cell>
          <cell r="AF271" t="e">
            <v>#VALUE!</v>
          </cell>
          <cell r="AG271">
            <v>0</v>
          </cell>
          <cell r="AH271" t="str">
            <v>будет использоваться</v>
          </cell>
          <cell r="AI271">
            <v>0</v>
          </cell>
          <cell r="AJ271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71">
            <v>15914</v>
          </cell>
          <cell r="AM271" t="str">
            <v>По сроку службы</v>
          </cell>
        </row>
        <row r="272">
          <cell r="A272">
            <v>346</v>
          </cell>
          <cell r="B272" t="str">
            <v>Ц00003208</v>
          </cell>
          <cell r="C272" t="str">
            <v>Сенажная башня 1 (Литер К, S=73) (НП МТФ№3)</v>
          </cell>
          <cell r="D272">
            <v>41913</v>
          </cell>
          <cell r="E272">
            <v>41913</v>
          </cell>
          <cell r="F272">
            <v>29587.93</v>
          </cell>
          <cell r="G272">
            <v>0.98663458968190321</v>
          </cell>
          <cell r="H272">
            <v>29192.475175086875</v>
          </cell>
          <cell r="I272">
            <v>1.2493150684931507</v>
          </cell>
          <cell r="J272" t="str">
            <v>бетон</v>
          </cell>
          <cell r="K272">
            <v>0</v>
          </cell>
          <cell r="L272">
            <v>50</v>
          </cell>
          <cell r="M272">
            <v>2.4986301369863014E-2</v>
          </cell>
          <cell r="N272">
            <v>0</v>
          </cell>
          <cell r="O272">
            <v>0</v>
          </cell>
          <cell r="P272">
            <v>2.4986301369863018E-2</v>
          </cell>
          <cell r="Q272">
            <v>0</v>
          </cell>
          <cell r="R272">
            <v>0</v>
          </cell>
          <cell r="S272" t="str">
            <v>Не соответствует</v>
          </cell>
          <cell r="T272">
            <v>28463</v>
          </cell>
          <cell r="U272">
            <v>389.90410958904107</v>
          </cell>
          <cell r="V272" t="e">
            <v>#DIV/0!</v>
          </cell>
          <cell r="W272" t="str">
            <v>Не соответствует</v>
          </cell>
          <cell r="X272">
            <v>0</v>
          </cell>
          <cell r="Y272">
            <v>0</v>
          </cell>
          <cell r="Z272" t="str">
            <v/>
          </cell>
          <cell r="AA272" t="str">
            <v/>
          </cell>
          <cell r="AB272" t="e">
            <v>#VALUE!</v>
          </cell>
          <cell r="AC272" t="str">
            <v>Не рассчитывалась</v>
          </cell>
          <cell r="AD272">
            <v>1180885</v>
          </cell>
          <cell r="AE272">
            <v>16176.506849315068</v>
          </cell>
          <cell r="AF272" t="e">
            <v>#DIV/0!</v>
          </cell>
          <cell r="AG272">
            <v>73</v>
          </cell>
          <cell r="AH272" t="str">
            <v>будет использоваться</v>
          </cell>
          <cell r="AI272" t="str">
            <v>Уточнить состояние по фото</v>
          </cell>
          <cell r="AJ272" t="str">
            <v>Фото не предоставлено. По данным Заказчика объект будет использоваться. Расчет по Ко-Инвесту. С учетом того, что объектом является башня, удельная величина рыночной стоимости 1 кв. м является адекватной.</v>
          </cell>
          <cell r="AL272">
            <v>1180885</v>
          </cell>
          <cell r="AM272" t="str">
            <v>Ко-Инвест</v>
          </cell>
        </row>
        <row r="273">
          <cell r="A273">
            <v>347</v>
          </cell>
          <cell r="B273" t="str">
            <v>Ц00003210</v>
          </cell>
          <cell r="C273" t="str">
            <v>Сенажная башня 3 (Литер Н, S=73) (НП МТФ№3)</v>
          </cell>
          <cell r="D273">
            <v>41913</v>
          </cell>
          <cell r="E273">
            <v>41913</v>
          </cell>
          <cell r="F273">
            <v>47201.19</v>
          </cell>
          <cell r="G273">
            <v>0.98663458968190321</v>
          </cell>
          <cell r="H273">
            <v>46570.326728147556</v>
          </cell>
          <cell r="I273">
            <v>1.2493150684931507</v>
          </cell>
          <cell r="J273" t="str">
            <v>бетон</v>
          </cell>
          <cell r="K273">
            <v>0</v>
          </cell>
          <cell r="L273">
            <v>50</v>
          </cell>
          <cell r="M273">
            <v>2.4986301369863014E-2</v>
          </cell>
          <cell r="N273">
            <v>0</v>
          </cell>
          <cell r="O273">
            <v>0</v>
          </cell>
          <cell r="P273">
            <v>2.4986301369863018E-2</v>
          </cell>
          <cell r="Q273">
            <v>0</v>
          </cell>
          <cell r="R273">
            <v>0</v>
          </cell>
          <cell r="S273" t="str">
            <v>Не соответствует</v>
          </cell>
          <cell r="T273">
            <v>45407</v>
          </cell>
          <cell r="U273">
            <v>622.01369863013701</v>
          </cell>
          <cell r="V273" t="e">
            <v>#DIV/0!</v>
          </cell>
          <cell r="W273" t="str">
            <v>Не соответствует</v>
          </cell>
          <cell r="X273">
            <v>0</v>
          </cell>
          <cell r="Y273">
            <v>0</v>
          </cell>
          <cell r="Z273" t="str">
            <v/>
          </cell>
          <cell r="AA273" t="str">
            <v/>
          </cell>
          <cell r="AB273" t="e">
            <v>#VALUE!</v>
          </cell>
          <cell r="AC273" t="str">
            <v>Не рассчитывалась</v>
          </cell>
          <cell r="AD273">
            <v>1180885</v>
          </cell>
          <cell r="AE273">
            <v>16176.506849315068</v>
          </cell>
          <cell r="AF273" t="e">
            <v>#DIV/0!</v>
          </cell>
          <cell r="AG273">
            <v>73</v>
          </cell>
          <cell r="AH273" t="str">
            <v>будет использоваться</v>
          </cell>
          <cell r="AI273" t="str">
            <v>Уточнить состояние по фото</v>
          </cell>
          <cell r="AJ273" t="str">
            <v>Фото не предоставлено. По данным Заказчика объект будет использоваться. Расчет по Ко-Инвесту. С учетом того, что объектом является башня, удельная величина рыночной стоимости 1 кв. м является адекватной.</v>
          </cell>
          <cell r="AL273">
            <v>1180885</v>
          </cell>
          <cell r="AM273" t="str">
            <v>Ко-Инвест</v>
          </cell>
        </row>
        <row r="274">
          <cell r="A274">
            <v>348</v>
          </cell>
          <cell r="B274" t="str">
            <v>Ц00002245</v>
          </cell>
          <cell r="C274" t="str">
            <v>Силосная траншея Об.пл. 2142кв.м. ЛитерГ5  Кад№ 23:24:0701000:739 (НП  МТФ№3)</v>
          </cell>
          <cell r="D274">
            <v>41934</v>
          </cell>
          <cell r="E274">
            <v>41934</v>
          </cell>
          <cell r="F274">
            <v>31725.06</v>
          </cell>
          <cell r="G274">
            <v>0.98663458968190321</v>
          </cell>
          <cell r="H274">
            <v>31301.041555733762</v>
          </cell>
          <cell r="I274">
            <v>1.1917808219178083</v>
          </cell>
          <cell r="J274" t="str">
            <v>бетонные плиты</v>
          </cell>
          <cell r="K274">
            <v>0</v>
          </cell>
          <cell r="L274">
            <v>45</v>
          </cell>
          <cell r="M274">
            <v>2.6484018264840186E-2</v>
          </cell>
          <cell r="N274">
            <v>0</v>
          </cell>
          <cell r="O274">
            <v>0</v>
          </cell>
          <cell r="P274">
            <v>2.6484018264840148E-2</v>
          </cell>
          <cell r="Q274">
            <v>30249.460000000003</v>
          </cell>
          <cell r="R274">
            <v>14.122063492063493</v>
          </cell>
          <cell r="S274" t="str">
            <v>Соответствует</v>
          </cell>
          <cell r="T274">
            <v>30472</v>
          </cell>
          <cell r="U274">
            <v>14.22595704948646</v>
          </cell>
          <cell r="V274">
            <v>1.0073568255433318</v>
          </cell>
          <cell r="W274" t="str">
            <v>Соответствует</v>
          </cell>
          <cell r="X274" t="str">
            <v>удовлетворительное</v>
          </cell>
          <cell r="Y274">
            <v>0.5</v>
          </cell>
          <cell r="Z274">
            <v>15650.520777866881</v>
          </cell>
          <cell r="AA274">
            <v>7.30649896258958</v>
          </cell>
          <cell r="AB274">
            <v>0.51738182360501239</v>
          </cell>
          <cell r="AC274" t="str">
            <v>Соответствует</v>
          </cell>
          <cell r="AD274" t="str">
            <v>Не рассчитывалась</v>
          </cell>
          <cell r="AE274" t="str">
            <v>Не рассчитывалась</v>
          </cell>
          <cell r="AF274" t="e">
            <v>#VALUE!</v>
          </cell>
          <cell r="AG274">
            <v>2142</v>
          </cell>
          <cell r="AH274">
            <v>0</v>
          </cell>
          <cell r="AI274">
            <v>0</v>
          </cell>
          <cell r="AL274">
            <v>30472</v>
          </cell>
          <cell r="AM274" t="str">
            <v>По сроку службы</v>
          </cell>
        </row>
        <row r="275">
          <cell r="A275">
            <v>350</v>
          </cell>
          <cell r="B275" t="str">
            <v>Ц00003896</v>
          </cell>
          <cell r="C275" t="str">
            <v>Скважина водозаборная №7516  Кад№ 23:11:0607000:2760  Высота 374м (МТФ №1) (КС)</v>
          </cell>
          <cell r="D275">
            <v>42034</v>
          </cell>
          <cell r="E275">
            <v>42034</v>
          </cell>
          <cell r="F275">
            <v>1994915.25</v>
          </cell>
          <cell r="G275">
            <v>0.98755852842809366</v>
          </cell>
          <cell r="H275">
            <v>1970095.5686287626</v>
          </cell>
          <cell r="I275">
            <v>0.9178082191780822</v>
          </cell>
          <cell r="J275" t="str">
            <v>стальная</v>
          </cell>
          <cell r="K275">
            <v>0</v>
          </cell>
          <cell r="L275">
            <v>15</v>
          </cell>
          <cell r="M275">
            <v>6.1187214611872147E-2</v>
          </cell>
          <cell r="N275">
            <v>0</v>
          </cell>
          <cell r="O275">
            <v>0</v>
          </cell>
          <cell r="P275">
            <v>6.1187214611872154E-2</v>
          </cell>
          <cell r="Q275">
            <v>1401832.3199999998</v>
          </cell>
          <cell r="R275" t="e">
            <v>#DIV/0!</v>
          </cell>
          <cell r="S275" t="str">
            <v>Соответствует</v>
          </cell>
          <cell r="T275">
            <v>1849551</v>
          </cell>
          <cell r="U275" t="e">
            <v>#DIV/0!</v>
          </cell>
          <cell r="V275">
            <v>1.3193810512230166</v>
          </cell>
          <cell r="W275" t="str">
            <v>Соответствует</v>
          </cell>
          <cell r="X275" t="str">
            <v>отличное</v>
          </cell>
          <cell r="Y275">
            <v>0.05</v>
          </cell>
          <cell r="Z275">
            <v>1871590.7901973245</v>
          </cell>
          <cell r="AA275" t="e">
            <v>#DIV/0!</v>
          </cell>
          <cell r="AB275">
            <v>1.3351031813828667</v>
          </cell>
          <cell r="AC275" t="str">
            <v>Соответствует</v>
          </cell>
          <cell r="AD275" t="str">
            <v>Не рассчитывалась</v>
          </cell>
          <cell r="AE275" t="str">
            <v>Не рассчитывалась</v>
          </cell>
          <cell r="AF275" t="e">
            <v>#VALUE!</v>
          </cell>
          <cell r="AG275">
            <v>0</v>
          </cell>
          <cell r="AH275">
            <v>0</v>
          </cell>
          <cell r="AI275">
            <v>0</v>
          </cell>
          <cell r="AL275">
            <v>1849551</v>
          </cell>
          <cell r="AM275" t="str">
            <v>По сроку службы</v>
          </cell>
        </row>
        <row r="276">
          <cell r="A276">
            <v>351</v>
          </cell>
          <cell r="B276" t="str">
            <v>Ц00001304</v>
          </cell>
          <cell r="C276" t="str">
            <v>Сооружение нежилое Об.пл.1354,3 кв.м. ЛитерИ Кад№ 23:11:0902000:261 (Силосохранилище №1) (КС  МТФ№1)</v>
          </cell>
          <cell r="D276">
            <v>41898</v>
          </cell>
          <cell r="E276">
            <v>41898</v>
          </cell>
          <cell r="F276">
            <v>2013971.61</v>
          </cell>
          <cell r="G276">
            <v>0.98151841510437443</v>
          </cell>
          <cell r="H276">
            <v>1976750.2227124055</v>
          </cell>
          <cell r="I276">
            <v>1.2904109589041095</v>
          </cell>
          <cell r="J276" t="str">
            <v>ж/б плиты</v>
          </cell>
          <cell r="K276">
            <v>0</v>
          </cell>
          <cell r="L276">
            <v>45</v>
          </cell>
          <cell r="M276">
            <v>2.8675799086757988E-2</v>
          </cell>
          <cell r="N276">
            <v>0</v>
          </cell>
          <cell r="O276">
            <v>0</v>
          </cell>
          <cell r="P276">
            <v>2.8675799086757991E-2</v>
          </cell>
          <cell r="Q276">
            <v>1658564.9100000001</v>
          </cell>
          <cell r="R276">
            <v>1224.6658125969136</v>
          </cell>
          <cell r="S276" t="str">
            <v>Соответствует</v>
          </cell>
          <cell r="T276">
            <v>1920065</v>
          </cell>
          <cell r="U276">
            <v>1417.7545595510596</v>
          </cell>
          <cell r="V276">
            <v>1.15766647926972</v>
          </cell>
          <cell r="W276" t="str">
            <v>Соответствует</v>
          </cell>
          <cell r="X276">
            <v>0</v>
          </cell>
          <cell r="Y276">
            <v>0</v>
          </cell>
          <cell r="Z276" t="str">
            <v/>
          </cell>
          <cell r="AA276" t="str">
            <v/>
          </cell>
          <cell r="AB276" t="e">
            <v>#VALUE!</v>
          </cell>
          <cell r="AC276" t="str">
            <v>Не рассчитывалась</v>
          </cell>
          <cell r="AD276">
            <v>43661347</v>
          </cell>
          <cell r="AE276">
            <v>32239.051170346305</v>
          </cell>
          <cell r="AF276">
            <v>26.324774349651467</v>
          </cell>
          <cell r="AG276">
            <v>1354.3</v>
          </cell>
          <cell r="AH276">
            <v>0</v>
          </cell>
          <cell r="AI276">
            <v>0</v>
          </cell>
          <cell r="AJ276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76">
            <v>1920065</v>
          </cell>
          <cell r="AM276" t="str">
            <v>По сроку службы</v>
          </cell>
        </row>
        <row r="277">
          <cell r="A277">
            <v>352</v>
          </cell>
          <cell r="B277" t="str">
            <v>Ц00001305</v>
          </cell>
          <cell r="C277" t="str">
            <v>Сооружение нежилое Об.пл.1365,3 кв.м. ЛитерК Кад№ 23:11:0902000:263 (Силосохранилище №2) (КС  МТФ№1)</v>
          </cell>
          <cell r="D277">
            <v>41898</v>
          </cell>
          <cell r="E277">
            <v>41898</v>
          </cell>
          <cell r="F277">
            <v>2013971.99</v>
          </cell>
          <cell r="G277">
            <v>0.98151841510437443</v>
          </cell>
          <cell r="H277">
            <v>1976750.5956894031</v>
          </cell>
          <cell r="I277">
            <v>1.2904109589041095</v>
          </cell>
          <cell r="J277" t="str">
            <v>ж/б плиты</v>
          </cell>
          <cell r="K277">
            <v>0</v>
          </cell>
          <cell r="L277">
            <v>45</v>
          </cell>
          <cell r="M277">
            <v>2.8675799086757988E-2</v>
          </cell>
          <cell r="N277">
            <v>0</v>
          </cell>
          <cell r="O277">
            <v>0</v>
          </cell>
          <cell r="P277">
            <v>2.8675799086757991E-2</v>
          </cell>
          <cell r="Q277">
            <v>1658565.1400000001</v>
          </cell>
          <cell r="R277">
            <v>1214.7990478283164</v>
          </cell>
          <cell r="S277" t="str">
            <v>Соответствует</v>
          </cell>
          <cell r="T277">
            <v>1920066</v>
          </cell>
          <cell r="U277">
            <v>1406.3326741375522</v>
          </cell>
          <cell r="V277">
            <v>1.1576669216621784</v>
          </cell>
          <cell r="W277" t="str">
            <v>Соответствует</v>
          </cell>
          <cell r="X277">
            <v>0</v>
          </cell>
          <cell r="Y277">
            <v>0</v>
          </cell>
          <cell r="Z277" t="str">
            <v/>
          </cell>
          <cell r="AA277" t="str">
            <v/>
          </cell>
          <cell r="AB277" t="e">
            <v>#VALUE!</v>
          </cell>
          <cell r="AC277" t="str">
            <v>Не рассчитывалась</v>
          </cell>
          <cell r="AD277">
            <v>44017134</v>
          </cell>
          <cell r="AE277">
            <v>32239.898923313558</v>
          </cell>
          <cell r="AF277">
            <v>26.539285638187234</v>
          </cell>
          <cell r="AG277">
            <v>1365.3</v>
          </cell>
          <cell r="AH277">
            <v>0</v>
          </cell>
          <cell r="AI277">
            <v>0</v>
          </cell>
          <cell r="AJ277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77">
            <v>1920066</v>
          </cell>
          <cell r="AM277" t="str">
            <v>По сроку службы</v>
          </cell>
        </row>
        <row r="278">
          <cell r="A278">
            <v>353</v>
          </cell>
          <cell r="B278">
            <v>429</v>
          </cell>
          <cell r="C278" t="str">
            <v>Цех по производству тротуарной плитки  55 СМУ</v>
          </cell>
          <cell r="D278">
            <v>37605</v>
          </cell>
          <cell r="E278">
            <v>0</v>
          </cell>
          <cell r="F278">
            <v>53624</v>
          </cell>
          <cell r="G278">
            <v>4.5511713933415532</v>
          </cell>
          <cell r="H278">
            <v>244052.01479654745</v>
          </cell>
          <cell r="I278">
            <v>13.052054794520547</v>
          </cell>
          <cell r="J278" t="str">
            <v>Кирпич</v>
          </cell>
          <cell r="K278">
            <v>0</v>
          </cell>
          <cell r="L278">
            <v>60</v>
          </cell>
          <cell r="M278">
            <v>0.21753424657534245</v>
          </cell>
          <cell r="N278">
            <v>0</v>
          </cell>
          <cell r="O278">
            <v>0</v>
          </cell>
          <cell r="P278">
            <v>0.21753424657534248</v>
          </cell>
          <cell r="Q278">
            <v>36195.96</v>
          </cell>
          <cell r="R278" t="e">
            <v>#DIV/0!</v>
          </cell>
          <cell r="S278">
            <v>0</v>
          </cell>
          <cell r="T278">
            <v>190962</v>
          </cell>
          <cell r="U278" t="e">
            <v>#DIV/0!</v>
          </cell>
          <cell r="V278">
            <v>5.2757821591138905</v>
          </cell>
          <cell r="W278">
            <v>0</v>
          </cell>
          <cell r="X278">
            <v>0</v>
          </cell>
          <cell r="Y278">
            <v>0</v>
          </cell>
          <cell r="Z278" t="str">
            <v/>
          </cell>
          <cell r="AA278" t="str">
            <v/>
          </cell>
          <cell r="AB278" t="e">
            <v>#VALUE!</v>
          </cell>
          <cell r="AC278">
            <v>0</v>
          </cell>
          <cell r="AD278" t="str">
            <v>Не рассчитывалась</v>
          </cell>
          <cell r="AE278" t="str">
            <v>Не рассчитывалась</v>
          </cell>
          <cell r="AF278" t="e">
            <v>#VALUE!</v>
          </cell>
          <cell r="AG278">
            <v>0</v>
          </cell>
          <cell r="AH278" t="str">
            <v>не будет использоваться</v>
          </cell>
          <cell r="AI278">
            <v>0</v>
          </cell>
          <cell r="AL278">
            <v>0</v>
          </cell>
          <cell r="AM278" t="str">
            <v>Не рассчитывалась</v>
          </cell>
        </row>
        <row r="279">
          <cell r="A279">
            <v>0</v>
          </cell>
          <cell r="M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L279">
            <v>0</v>
          </cell>
          <cell r="AM279">
            <v>0</v>
          </cell>
        </row>
        <row r="280">
          <cell r="A280">
            <v>13</v>
          </cell>
          <cell r="B280" t="str">
            <v>Р00008272</v>
          </cell>
          <cell r="C280" t="str">
            <v>Доильный зал  МТФ №3  Литер Ф Об.пл. 621,4 кв.м. Кад№ 23:11:0702000:791</v>
          </cell>
          <cell r="D280">
            <v>40381</v>
          </cell>
          <cell r="E280">
            <v>40381</v>
          </cell>
          <cell r="F280">
            <v>10151591.279999999</v>
          </cell>
          <cell r="G280">
            <v>1.4577409162717219</v>
          </cell>
          <cell r="H280">
            <v>14798389.974123221</v>
          </cell>
          <cell r="I280">
            <v>5.4465753424657537</v>
          </cell>
          <cell r="J280" t="str">
            <v>поликарбонат</v>
          </cell>
          <cell r="K280" t="str">
            <v>КС-6</v>
          </cell>
          <cell r="L280">
            <v>35</v>
          </cell>
          <cell r="M280">
            <v>0.1556164383561644</v>
          </cell>
          <cell r="N280">
            <v>0</v>
          </cell>
          <cell r="O280">
            <v>0</v>
          </cell>
          <cell r="P280">
            <v>0.15561643835616445</v>
          </cell>
          <cell r="Q280">
            <v>8776909.3300000001</v>
          </cell>
          <cell r="R280">
            <v>19504.242955555557</v>
          </cell>
          <cell r="S280" t="str">
            <v>Соответствует</v>
          </cell>
          <cell r="T280">
            <v>12495517</v>
          </cell>
          <cell r="U280">
            <v>27767.815555555557</v>
          </cell>
          <cell r="V280">
            <v>1.4236807662225217</v>
          </cell>
          <cell r="W280" t="str">
            <v>Соответствует</v>
          </cell>
          <cell r="X280" t="str">
            <v>отличное</v>
          </cell>
          <cell r="Y280">
            <v>0.1</v>
          </cell>
          <cell r="Z280">
            <v>13318550.976710899</v>
          </cell>
          <cell r="AA280">
            <v>29596.779948246443</v>
          </cell>
          <cell r="AB280">
            <v>1.5174534082501339</v>
          </cell>
          <cell r="AC280" t="str">
            <v>Соответствует</v>
          </cell>
          <cell r="AD280">
            <v>64856578</v>
          </cell>
          <cell r="AE280">
            <v>144125.7288888889</v>
          </cell>
          <cell r="AF280">
            <v>7.3894551671299995</v>
          </cell>
          <cell r="AG280">
            <v>450</v>
          </cell>
          <cell r="AH280">
            <v>0</v>
          </cell>
          <cell r="AI280" t="str">
            <v>уточнить</v>
          </cell>
          <cell r="AL280">
            <v>12495517</v>
          </cell>
          <cell r="AM280" t="str">
            <v>По сроку службы</v>
          </cell>
        </row>
        <row r="281">
          <cell r="A281">
            <v>14</v>
          </cell>
          <cell r="B281">
            <v>570</v>
          </cell>
          <cell r="C281" t="str">
            <v>Доильный зал МТФ №5  Литер Д Об.пл. 1074,7 кв.м. Кад№  23:11:0702000:792</v>
          </cell>
          <cell r="D281">
            <v>40162</v>
          </cell>
          <cell r="E281">
            <v>40162</v>
          </cell>
          <cell r="F281">
            <v>11153265.390000001</v>
          </cell>
          <cell r="G281">
            <v>1.6231310466138962</v>
          </cell>
          <cell r="H281">
            <v>18103211.325633246</v>
          </cell>
          <cell r="I281">
            <v>6.0465753424657533</v>
          </cell>
          <cell r="J281" t="str">
            <v>бетонные</v>
          </cell>
          <cell r="K281" t="str">
            <v>КС-3</v>
          </cell>
          <cell r="L281">
            <v>50</v>
          </cell>
          <cell r="M281">
            <v>0.12093150684931507</v>
          </cell>
          <cell r="N281">
            <v>0</v>
          </cell>
          <cell r="O281">
            <v>0</v>
          </cell>
          <cell r="P281">
            <v>0.12093150684931508</v>
          </cell>
          <cell r="Q281">
            <v>8364948.9900000002</v>
          </cell>
          <cell r="R281">
            <v>7783.5200428026428</v>
          </cell>
          <cell r="S281" t="str">
            <v>Не соответствует</v>
          </cell>
          <cell r="T281">
            <v>15913963</v>
          </cell>
          <cell r="U281">
            <v>14807.818926211965</v>
          </cell>
          <cell r="V281">
            <v>1.9024578654364275</v>
          </cell>
          <cell r="W281" t="str">
            <v>Соответствует</v>
          </cell>
          <cell r="X281" t="str">
            <v>отличное</v>
          </cell>
          <cell r="Y281">
            <v>0.1</v>
          </cell>
          <cell r="Z281">
            <v>16292890.193069922</v>
          </cell>
          <cell r="AA281">
            <v>15160.407735246972</v>
          </cell>
          <cell r="AB281">
            <v>1.9477572681611679</v>
          </cell>
          <cell r="AC281" t="str">
            <v>Соответствует</v>
          </cell>
          <cell r="AD281">
            <v>33938444</v>
          </cell>
          <cell r="AE281">
            <v>31579.458453521911</v>
          </cell>
          <cell r="AF281">
            <v>4.0572206764885479</v>
          </cell>
          <cell r="AG281">
            <v>1074.7</v>
          </cell>
          <cell r="AH281">
            <v>0</v>
          </cell>
          <cell r="AI281" t="str">
            <v>уточнить</v>
          </cell>
          <cell r="AL281">
            <v>15913963</v>
          </cell>
          <cell r="AM281" t="str">
            <v>По сроку службы</v>
          </cell>
        </row>
        <row r="282">
          <cell r="A282">
            <v>15</v>
          </cell>
          <cell r="B282" t="str">
            <v>Ц00001324</v>
          </cell>
          <cell r="C282" t="str">
            <v>Доильный зал на МТФ№1 Об.пл. 1154,5 кв.м. Литер Ж Кад№ 23:11:0902000:259 (КС  МТФ№1)</v>
          </cell>
          <cell r="D282">
            <v>41898</v>
          </cell>
          <cell r="E282">
            <v>41898</v>
          </cell>
          <cell r="F282">
            <v>6546692.3700000001</v>
          </cell>
          <cell r="G282">
            <v>0.98151841510437443</v>
          </cell>
          <cell r="H282">
            <v>6425699.1191783007</v>
          </cell>
          <cell r="I282">
            <v>1.2904109589041095</v>
          </cell>
          <cell r="J282" t="str">
            <v>кирпичные</v>
          </cell>
          <cell r="K282" t="str">
            <v>КС-1</v>
          </cell>
          <cell r="L282">
            <v>60</v>
          </cell>
          <cell r="M282">
            <v>2.150684931506849E-2</v>
          </cell>
          <cell r="N282">
            <v>0</v>
          </cell>
          <cell r="O282">
            <v>0</v>
          </cell>
          <cell r="P282">
            <v>2.1506849315068521E-2</v>
          </cell>
          <cell r="Q282">
            <v>6004148.8200000003</v>
          </cell>
          <cell r="R282">
            <v>5200.6486097877869</v>
          </cell>
          <cell r="S282" t="str">
            <v>Соответствует</v>
          </cell>
          <cell r="T282">
            <v>6287503</v>
          </cell>
          <cell r="U282">
            <v>5446.0831528800345</v>
          </cell>
          <cell r="V282">
            <v>1.0471930640786482</v>
          </cell>
          <cell r="W282" t="str">
            <v>Соответствует</v>
          </cell>
          <cell r="X282" t="str">
            <v>отличное</v>
          </cell>
          <cell r="Y282">
            <v>0.05</v>
          </cell>
          <cell r="Z282">
            <v>6104414.1632193858</v>
          </cell>
          <cell r="AA282">
            <v>5287.4960270414776</v>
          </cell>
          <cell r="AB282">
            <v>1.0166993434415548</v>
          </cell>
          <cell r="AC282" t="str">
            <v>Соответствует</v>
          </cell>
          <cell r="AD282">
            <v>28736691</v>
          </cell>
          <cell r="AE282">
            <v>24891.027284538763</v>
          </cell>
          <cell r="AF282">
            <v>4.7861390284460006</v>
          </cell>
          <cell r="AG282">
            <v>1154.5</v>
          </cell>
          <cell r="AH282">
            <v>0</v>
          </cell>
          <cell r="AI282">
            <v>0</v>
          </cell>
          <cell r="AL282">
            <v>6104414.1632193858</v>
          </cell>
          <cell r="AM282" t="str">
            <v>Экспертно</v>
          </cell>
        </row>
        <row r="283">
          <cell r="A283">
            <v>23</v>
          </cell>
          <cell r="B283">
            <v>425</v>
          </cell>
          <cell r="C283" t="str">
            <v>Здание конторы Об.пл 525,6 кв.м. (Контора ОАО"РОДИНА"  Литер А)  Кад№ 23:11:0701033:2</v>
          </cell>
          <cell r="D283">
            <v>23726</v>
          </cell>
          <cell r="E283">
            <v>23726</v>
          </cell>
          <cell r="F283">
            <v>4991930.62</v>
          </cell>
          <cell r="G283">
            <v>13.261762999999998</v>
          </cell>
          <cell r="H283">
            <v>66201800.79488305</v>
          </cell>
          <cell r="I283">
            <v>51.076712328767123</v>
          </cell>
          <cell r="J283" t="str">
            <v>каменные</v>
          </cell>
          <cell r="K283" t="str">
            <v>КС-1</v>
          </cell>
          <cell r="L283">
            <v>60</v>
          </cell>
          <cell r="M283">
            <v>0.8</v>
          </cell>
          <cell r="N283">
            <v>0</v>
          </cell>
          <cell r="O283">
            <v>0</v>
          </cell>
          <cell r="P283">
            <v>0.8</v>
          </cell>
          <cell r="Q283">
            <v>4535265.58</v>
          </cell>
          <cell r="R283">
            <v>8628.739687975647</v>
          </cell>
          <cell r="S283" t="str">
            <v>Не соответствует</v>
          </cell>
          <cell r="T283">
            <v>13240360</v>
          </cell>
          <cell r="U283">
            <v>25190.943683409434</v>
          </cell>
          <cell r="V283">
            <v>2.9194232986902611</v>
          </cell>
          <cell r="W283" t="str">
            <v>Соответствует</v>
          </cell>
          <cell r="X283" t="str">
            <v>хорошее</v>
          </cell>
          <cell r="Y283">
            <v>0.2</v>
          </cell>
          <cell r="Z283">
            <v>52961440.635906443</v>
          </cell>
          <cell r="AA283">
            <v>100763.7759435054</v>
          </cell>
          <cell r="AB283">
            <v>11.67769333497476</v>
          </cell>
          <cell r="AC283" t="str">
            <v>Не соответствует</v>
          </cell>
          <cell r="AD283">
            <v>2251236</v>
          </cell>
          <cell r="AE283">
            <v>4283.1735159817354</v>
          </cell>
          <cell r="AF283">
            <v>0.49638460202368129</v>
          </cell>
          <cell r="AG283">
            <v>525.6</v>
          </cell>
          <cell r="AH283">
            <v>0</v>
          </cell>
          <cell r="AI283" t="str">
            <v>уточнить</v>
          </cell>
          <cell r="AL283">
            <v>13240360</v>
          </cell>
          <cell r="AM283" t="str">
            <v>По сроку службы</v>
          </cell>
        </row>
        <row r="284">
          <cell r="A284">
            <v>24</v>
          </cell>
          <cell r="B284" t="str">
            <v>Ц00001306</v>
          </cell>
          <cell r="C284" t="str">
            <v>Здание корпус №1 Об.пл. 2216,9 кв.м.  Литер Б Кад№ 23:11:0902000:1790 (Коровник №1) (КС  МТФ№1)</v>
          </cell>
          <cell r="D284">
            <v>41898</v>
          </cell>
          <cell r="E284">
            <v>41898</v>
          </cell>
          <cell r="F284">
            <v>2555917.25</v>
          </cell>
          <cell r="G284">
            <v>0.98151841510437443</v>
          </cell>
          <cell r="H284">
            <v>2508679.8483579312</v>
          </cell>
          <cell r="I284">
            <v>1.2904109589041095</v>
          </cell>
          <cell r="J284" t="str">
            <v>ж/б панели</v>
          </cell>
          <cell r="K284" t="str">
            <v>КС-3</v>
          </cell>
          <cell r="L284">
            <v>50</v>
          </cell>
          <cell r="M284">
            <v>2.5808219178082192E-2</v>
          </cell>
          <cell r="N284">
            <v>0</v>
          </cell>
          <cell r="O284">
            <v>0</v>
          </cell>
          <cell r="P284">
            <v>2.5808219178082181E-2</v>
          </cell>
          <cell r="Q284">
            <v>2344100.9</v>
          </cell>
          <cell r="R284">
            <v>1057.3778248906128</v>
          </cell>
          <cell r="S284" t="str">
            <v>Соответствует</v>
          </cell>
          <cell r="T284">
            <v>2443935</v>
          </cell>
          <cell r="U284">
            <v>1102.4110244034462</v>
          </cell>
          <cell r="V284">
            <v>1.0425895062793586</v>
          </cell>
          <cell r="W284" t="str">
            <v>Соответствует</v>
          </cell>
          <cell r="X284" t="str">
            <v>хорошее</v>
          </cell>
          <cell r="Y284">
            <v>0.2</v>
          </cell>
          <cell r="Z284">
            <v>2006943.8786863452</v>
          </cell>
          <cell r="AA284">
            <v>905.29292195694222</v>
          </cell>
          <cell r="AB284">
            <v>0.8561678717355321</v>
          </cell>
          <cell r="AC284" t="str">
            <v>Не соответствует</v>
          </cell>
          <cell r="AD284">
            <v>26895090</v>
          </cell>
          <cell r="AE284">
            <v>12131.84627182101</v>
          </cell>
          <cell r="AF284">
            <v>11.473520615089564</v>
          </cell>
          <cell r="AG284">
            <v>2216.9</v>
          </cell>
          <cell r="AH284">
            <v>0</v>
          </cell>
          <cell r="AI284">
            <v>0</v>
          </cell>
          <cell r="AL284">
            <v>2443935</v>
          </cell>
          <cell r="AM284" t="str">
            <v>По сроку службы</v>
          </cell>
        </row>
        <row r="285">
          <cell r="A285">
            <v>29</v>
          </cell>
          <cell r="B285" t="str">
            <v>Ц00001318</v>
          </cell>
          <cell r="C285" t="str">
            <v>Здание нежилое Об.пл. 1411 кв.м. Литер Л Кад№ 23:11:0902000:278 (Коровник №5)  (КС  МТФ№1)</v>
          </cell>
          <cell r="D285">
            <v>41898</v>
          </cell>
          <cell r="E285">
            <v>41898</v>
          </cell>
          <cell r="F285">
            <v>7337364.4100000001</v>
          </cell>
          <cell r="G285">
            <v>0.98151841510437443</v>
          </cell>
          <cell r="H285">
            <v>7201758.2867464432</v>
          </cell>
          <cell r="I285">
            <v>1.2904109589041095</v>
          </cell>
          <cell r="J285" t="str">
            <v>металлические</v>
          </cell>
          <cell r="K285" t="str">
            <v>КС-5</v>
          </cell>
          <cell r="L285">
            <v>40</v>
          </cell>
          <cell r="M285">
            <v>3.226027397260274E-2</v>
          </cell>
          <cell r="N285">
            <v>0</v>
          </cell>
          <cell r="O285">
            <v>0</v>
          </cell>
          <cell r="P285">
            <v>3.2260273972602782E-2</v>
          </cell>
          <cell r="Q285">
            <v>7032487.7599999998</v>
          </cell>
          <cell r="R285">
            <v>4984.0451878100639</v>
          </cell>
          <cell r="S285" t="str">
            <v>Соответствует</v>
          </cell>
          <cell r="T285">
            <v>6969428</v>
          </cell>
          <cell r="U285">
            <v>4939.3536498936928</v>
          </cell>
          <cell r="V285">
            <v>0.99103307930961837</v>
          </cell>
          <cell r="W285" t="str">
            <v>Соответствует</v>
          </cell>
          <cell r="X285" t="str">
            <v>отличное</v>
          </cell>
          <cell r="Y285">
            <v>0.1</v>
          </cell>
          <cell r="Z285">
            <v>6481582.458071799</v>
          </cell>
          <cell r="AA285">
            <v>4593.6091127369236</v>
          </cell>
          <cell r="AB285">
            <v>0.92166281396724381</v>
          </cell>
          <cell r="AC285" t="str">
            <v>Соответствует</v>
          </cell>
          <cell r="AD285">
            <v>28616728</v>
          </cell>
          <cell r="AE285">
            <v>20281.167965981575</v>
          </cell>
          <cell r="AF285">
            <v>4.0692183159946236</v>
          </cell>
          <cell r="AG285">
            <v>1411</v>
          </cell>
          <cell r="AH285">
            <v>0</v>
          </cell>
          <cell r="AI285">
            <v>0</v>
          </cell>
          <cell r="AL285">
            <v>6969428</v>
          </cell>
          <cell r="AM285" t="str">
            <v>По сроку службы</v>
          </cell>
        </row>
        <row r="286">
          <cell r="A286">
            <v>30</v>
          </cell>
          <cell r="B286" t="str">
            <v>Ц00001319</v>
          </cell>
          <cell r="C286" t="str">
            <v>Здание нежилое Об.пл. 1411 кв.м. Литер М Кад№ 23:11:0902000:275  (Коровник №6)  (КС  МТФ№1)</v>
          </cell>
          <cell r="D286">
            <v>41898</v>
          </cell>
          <cell r="E286">
            <v>41898</v>
          </cell>
          <cell r="F286">
            <v>8060582.2000000002</v>
          </cell>
          <cell r="G286">
            <v>0.98151841510437443</v>
          </cell>
          <cell r="H286">
            <v>7911609.8657625318</v>
          </cell>
          <cell r="I286">
            <v>1.2904109589041095</v>
          </cell>
          <cell r="J286" t="str">
            <v>металлические</v>
          </cell>
          <cell r="K286" t="str">
            <v>КС-5</v>
          </cell>
          <cell r="L286">
            <v>40</v>
          </cell>
          <cell r="M286">
            <v>3.226027397260274E-2</v>
          </cell>
          <cell r="N286">
            <v>0</v>
          </cell>
          <cell r="O286">
            <v>0</v>
          </cell>
          <cell r="P286">
            <v>3.2260273972602782E-2</v>
          </cell>
          <cell r="Q286">
            <v>7725655</v>
          </cell>
          <cell r="R286">
            <v>5475.3047484053859</v>
          </cell>
          <cell r="S286" t="str">
            <v>Соответствует</v>
          </cell>
          <cell r="T286">
            <v>7656379</v>
          </cell>
          <cell r="U286">
            <v>5426.2076541459955</v>
          </cell>
          <cell r="V286">
            <v>0.99103299331901307</v>
          </cell>
          <cell r="W286" t="str">
            <v>Соответствует</v>
          </cell>
          <cell r="X286" t="str">
            <v>отличное</v>
          </cell>
          <cell r="Y286">
            <v>0.1</v>
          </cell>
          <cell r="Z286">
            <v>7120448.8791862791</v>
          </cell>
          <cell r="AA286">
            <v>5046.384747828688</v>
          </cell>
          <cell r="AB286">
            <v>0.92166280777309872</v>
          </cell>
          <cell r="AC286" t="str">
            <v>Соответствует</v>
          </cell>
          <cell r="AD286">
            <v>28616728</v>
          </cell>
          <cell r="AE286">
            <v>20281.167965981575</v>
          </cell>
          <cell r="AF286">
            <v>3.7041167383218641</v>
          </cell>
          <cell r="AG286">
            <v>1411</v>
          </cell>
          <cell r="AH286">
            <v>0</v>
          </cell>
          <cell r="AI286">
            <v>0</v>
          </cell>
          <cell r="AL286">
            <v>7656379</v>
          </cell>
          <cell r="AM286" t="str">
            <v>По сроку службы</v>
          </cell>
        </row>
        <row r="287">
          <cell r="A287">
            <v>31</v>
          </cell>
          <cell r="B287" t="str">
            <v>Ц00001321</v>
          </cell>
          <cell r="C287" t="str">
            <v>Здание нежилое Об.пл. 1412,4 кв.м. Литер Н Кад№ 23:11:0902000:279 (Коровник №8)  (КС  МТФ№1)</v>
          </cell>
          <cell r="D287">
            <v>41898</v>
          </cell>
          <cell r="E287">
            <v>41898</v>
          </cell>
          <cell r="F287">
            <v>7747983.9000000004</v>
          </cell>
          <cell r="G287">
            <v>0.98151841510437443</v>
          </cell>
          <cell r="H287">
            <v>7604788.8777822107</v>
          </cell>
          <cell r="I287">
            <v>1.2904109589041095</v>
          </cell>
          <cell r="J287" t="str">
            <v>металлические</v>
          </cell>
          <cell r="K287" t="str">
            <v>КС-5</v>
          </cell>
          <cell r="L287">
            <v>40</v>
          </cell>
          <cell r="M287">
            <v>3.226027397260274E-2</v>
          </cell>
          <cell r="N287">
            <v>0</v>
          </cell>
          <cell r="O287">
            <v>0</v>
          </cell>
          <cell r="P287">
            <v>3.2260273972602782E-2</v>
          </cell>
          <cell r="Q287">
            <v>7426045.5</v>
          </cell>
          <cell r="R287">
            <v>5257.7495751911638</v>
          </cell>
          <cell r="S287" t="str">
            <v>Соответствует</v>
          </cell>
          <cell r="T287">
            <v>7359456</v>
          </cell>
          <cell r="U287">
            <v>5210.6032285471538</v>
          </cell>
          <cell r="V287">
            <v>0.99103297980062199</v>
          </cell>
          <cell r="W287" t="str">
            <v>Соответствует</v>
          </cell>
          <cell r="X287" t="str">
            <v>отличное</v>
          </cell>
          <cell r="Y287">
            <v>0.1</v>
          </cell>
          <cell r="Z287">
            <v>6844309.99000399</v>
          </cell>
          <cell r="AA287">
            <v>4845.8722670659799</v>
          </cell>
          <cell r="AB287">
            <v>0.92166281367438296</v>
          </cell>
          <cell r="AC287" t="str">
            <v>Соответствует</v>
          </cell>
          <cell r="AD287">
            <v>28642576</v>
          </cell>
          <cell r="AE287">
            <v>20279.36561880487</v>
          </cell>
          <cell r="AF287">
            <v>3.8570428904589931</v>
          </cell>
          <cell r="AG287">
            <v>1412.4</v>
          </cell>
          <cell r="AH287">
            <v>0</v>
          </cell>
          <cell r="AI287">
            <v>0</v>
          </cell>
          <cell r="AL287">
            <v>7359456</v>
          </cell>
          <cell r="AM287" t="str">
            <v>По сроку службы</v>
          </cell>
        </row>
        <row r="288">
          <cell r="A288">
            <v>32</v>
          </cell>
          <cell r="B288" t="str">
            <v>Ц00001320</v>
          </cell>
          <cell r="C288" t="str">
            <v>Здание нежилое Об.пл. 1412,4 кв.м. Литер П Кад№ 23:11:0902000:285  (Коровник №7)  (КС  МТФ№1)</v>
          </cell>
          <cell r="D288">
            <v>41898</v>
          </cell>
          <cell r="E288">
            <v>41898</v>
          </cell>
          <cell r="F288">
            <v>7224104.2400000002</v>
          </cell>
          <cell r="G288">
            <v>0.98151841510437443</v>
          </cell>
          <cell r="H288">
            <v>7090591.3441935917</v>
          </cell>
          <cell r="I288">
            <v>1.2904109589041095</v>
          </cell>
          <cell r="J288" t="str">
            <v>металлические</v>
          </cell>
          <cell r="K288" t="str">
            <v>КС-5</v>
          </cell>
          <cell r="L288">
            <v>40</v>
          </cell>
          <cell r="M288">
            <v>3.226027397260274E-2</v>
          </cell>
          <cell r="N288">
            <v>0</v>
          </cell>
          <cell r="O288">
            <v>0</v>
          </cell>
          <cell r="P288">
            <v>3.2260273972602782E-2</v>
          </cell>
          <cell r="Q288">
            <v>6923933.6900000004</v>
          </cell>
          <cell r="R288">
            <v>4902.2470192580004</v>
          </cell>
          <cell r="S288" t="str">
            <v>Соответствует</v>
          </cell>
          <cell r="T288">
            <v>6861847</v>
          </cell>
          <cell r="U288">
            <v>4858.2887284055505</v>
          </cell>
          <cell r="V288">
            <v>0.99103303226464023</v>
          </cell>
          <cell r="W288" t="str">
            <v>Соответствует</v>
          </cell>
          <cell r="X288">
            <v>0</v>
          </cell>
          <cell r="Y288">
            <v>0</v>
          </cell>
          <cell r="Z288" t="str">
            <v/>
          </cell>
          <cell r="AA288" t="str">
            <v/>
          </cell>
          <cell r="AB288" t="e">
            <v>#VALUE!</v>
          </cell>
          <cell r="AC288" t="str">
            <v>Не рассчитывалась</v>
          </cell>
          <cell r="AD288">
            <v>28642576</v>
          </cell>
          <cell r="AE288">
            <v>20279.36561880487</v>
          </cell>
          <cell r="AF288">
            <v>4.1367490334818617</v>
          </cell>
          <cell r="AG288">
            <v>1412.4</v>
          </cell>
          <cell r="AH288">
            <v>0</v>
          </cell>
          <cell r="AI288">
            <v>0</v>
          </cell>
          <cell r="AJ288" t="str">
            <v>Фото не предоставлено. Рыночная стоимость не существенно отличается от остаточной. Все остальные коровники находятся в отличном состоянии. В связи с этим Оценщиком принято допущение о правильности расчетов по сроку службы.</v>
          </cell>
          <cell r="AL288">
            <v>6861847</v>
          </cell>
          <cell r="AM288" t="str">
            <v>По сроку службы</v>
          </cell>
        </row>
        <row r="289">
          <cell r="A289">
            <v>33</v>
          </cell>
          <cell r="B289" t="str">
            <v>Ц00004418</v>
          </cell>
          <cell r="C289" t="str">
            <v>Здание нежилое Об.пл. 1471,5 кв.м. Кад № 23:24:0701000:834 Литер Н-I (Коровник №10 на МТФ №2) (НП)</v>
          </cell>
          <cell r="D289">
            <v>42121</v>
          </cell>
          <cell r="E289">
            <v>42121</v>
          </cell>
          <cell r="F289">
            <v>10229612.59</v>
          </cell>
          <cell r="G289">
            <v>1.0055850701539299</v>
          </cell>
          <cell r="H289">
            <v>10286745.693962675</v>
          </cell>
          <cell r="I289">
            <v>0.67945205479452053</v>
          </cell>
          <cell r="J289" t="str">
            <v>металлопрофиль</v>
          </cell>
          <cell r="K289" t="str">
            <v>КС-5</v>
          </cell>
          <cell r="L289">
            <v>40</v>
          </cell>
          <cell r="M289">
            <v>1.6986301369863014E-2</v>
          </cell>
          <cell r="N289">
            <v>0</v>
          </cell>
          <cell r="O289">
            <v>0</v>
          </cell>
          <cell r="P289">
            <v>1.6986301369863011E-2</v>
          </cell>
          <cell r="Q289">
            <v>10002917.550000001</v>
          </cell>
          <cell r="R289">
            <v>6797.7693170234461</v>
          </cell>
          <cell r="S289" t="str">
            <v>Соответствует</v>
          </cell>
          <cell r="T289">
            <v>10112012</v>
          </cell>
          <cell r="U289">
            <v>6871.9075773020732</v>
          </cell>
          <cell r="V289">
            <v>1.0109062630432257</v>
          </cell>
          <cell r="W289" t="str">
            <v>Соответствует</v>
          </cell>
          <cell r="X289" t="str">
            <v>отличное</v>
          </cell>
          <cell r="Y289">
            <v>0.05</v>
          </cell>
          <cell r="Z289">
            <v>9772408.4092645403</v>
          </cell>
          <cell r="AA289">
            <v>6641.1202237611551</v>
          </cell>
          <cell r="AB289">
            <v>0.97695580918434533</v>
          </cell>
          <cell r="AC289" t="str">
            <v>Соответствует</v>
          </cell>
          <cell r="AD289">
            <v>29996104</v>
          </cell>
          <cell r="AE289">
            <v>20384.71219843697</v>
          </cell>
          <cell r="AF289">
            <v>2.9987355039230525</v>
          </cell>
          <cell r="AG289">
            <v>1471.5</v>
          </cell>
          <cell r="AH289">
            <v>0</v>
          </cell>
          <cell r="AI289">
            <v>0</v>
          </cell>
          <cell r="AL289">
            <v>10112012</v>
          </cell>
          <cell r="AM289" t="str">
            <v>По сроку службы</v>
          </cell>
        </row>
        <row r="290">
          <cell r="A290">
            <v>34</v>
          </cell>
          <cell r="B290" t="str">
            <v>Ц00004417</v>
          </cell>
          <cell r="C290" t="str">
            <v>Здание нежилое Об.пл. 1471,5 кв.м. Кад№ 23:24:0701000:833 Литер Л-I (Коровник №9 на МТФ №2)  (НП)</v>
          </cell>
          <cell r="D290">
            <v>42121</v>
          </cell>
          <cell r="E290">
            <v>42121</v>
          </cell>
          <cell r="F290">
            <v>10149604.85</v>
          </cell>
          <cell r="G290">
            <v>1.0055850701539299</v>
          </cell>
          <cell r="H290">
            <v>10206291.105121918</v>
          </cell>
          <cell r="I290">
            <v>0.67945205479452053</v>
          </cell>
          <cell r="J290" t="str">
            <v>металлопрофиль</v>
          </cell>
          <cell r="K290" t="str">
            <v>КС-5</v>
          </cell>
          <cell r="L290">
            <v>40</v>
          </cell>
          <cell r="M290">
            <v>1.6986301369863014E-2</v>
          </cell>
          <cell r="N290">
            <v>0</v>
          </cell>
          <cell r="O290">
            <v>0</v>
          </cell>
          <cell r="P290">
            <v>1.6986301369863011E-2</v>
          </cell>
          <cell r="Q290">
            <v>9924682.8499999996</v>
          </cell>
          <cell r="R290">
            <v>6744.6026843357113</v>
          </cell>
          <cell r="S290" t="str">
            <v>Соответствует</v>
          </cell>
          <cell r="T290">
            <v>10032924</v>
          </cell>
          <cell r="U290">
            <v>6818.1610601427119</v>
          </cell>
          <cell r="V290">
            <v>1.0109062578256593</v>
          </cell>
          <cell r="W290" t="str">
            <v>Соответствует</v>
          </cell>
          <cell r="X290" t="str">
            <v>отличное</v>
          </cell>
          <cell r="Y290">
            <v>0.05</v>
          </cell>
          <cell r="Z290">
            <v>9695976.5498658214</v>
          </cell>
          <cell r="AA290">
            <v>6589.1787630756517</v>
          </cell>
          <cell r="AB290">
            <v>0.97695580769775647</v>
          </cell>
          <cell r="AC290" t="str">
            <v>Соответствует</v>
          </cell>
          <cell r="AD290">
            <v>29996104</v>
          </cell>
          <cell r="AE290">
            <v>20384.71219843697</v>
          </cell>
          <cell r="AF290">
            <v>3.0223740600436417</v>
          </cell>
          <cell r="AG290">
            <v>1471.5</v>
          </cell>
          <cell r="AH290">
            <v>0</v>
          </cell>
          <cell r="AI290">
            <v>0</v>
          </cell>
          <cell r="AL290">
            <v>10032924</v>
          </cell>
          <cell r="AM290" t="str">
            <v>По сроку службы</v>
          </cell>
        </row>
        <row r="291">
          <cell r="A291">
            <v>35</v>
          </cell>
          <cell r="B291" t="str">
            <v>Ц00004419</v>
          </cell>
          <cell r="C291" t="str">
            <v>Здание нежилое Об.пл. 1475,2 кв.м. Кад № 23:24:0701000:835  Литер П-I (Коровник №11 на МТФ №2) (НП)</v>
          </cell>
          <cell r="D291">
            <v>42121</v>
          </cell>
          <cell r="E291">
            <v>42121</v>
          </cell>
          <cell r="F291">
            <v>10437427.369999999</v>
          </cell>
          <cell r="G291">
            <v>1.0055850701539299</v>
          </cell>
          <cell r="H291">
            <v>10495721.134087998</v>
          </cell>
          <cell r="I291">
            <v>0.67945205479452053</v>
          </cell>
          <cell r="J291" t="str">
            <v>металлопрофиль</v>
          </cell>
          <cell r="K291" t="str">
            <v>КС-5</v>
          </cell>
          <cell r="L291">
            <v>40</v>
          </cell>
          <cell r="M291">
            <v>1.6986301369863014E-2</v>
          </cell>
          <cell r="N291">
            <v>0</v>
          </cell>
          <cell r="O291">
            <v>0</v>
          </cell>
          <cell r="P291">
            <v>1.6986301369863011E-2</v>
          </cell>
          <cell r="Q291">
            <v>10206127.049999999</v>
          </cell>
          <cell r="R291">
            <v>6918.4700718546628</v>
          </cell>
          <cell r="S291" t="str">
            <v>Соответствует</v>
          </cell>
          <cell r="T291">
            <v>10317438</v>
          </cell>
          <cell r="U291">
            <v>6993.9248915401304</v>
          </cell>
          <cell r="V291">
            <v>1.0109062869249703</v>
          </cell>
          <cell r="W291" t="str">
            <v>Соответствует</v>
          </cell>
          <cell r="X291" t="str">
            <v>отличное</v>
          </cell>
          <cell r="Y291">
            <v>0.05</v>
          </cell>
          <cell r="Z291">
            <v>9970935.0773835983</v>
          </cell>
          <cell r="AA291">
            <v>6759.0395047340007</v>
          </cell>
          <cell r="AB291">
            <v>0.97695580591303721</v>
          </cell>
          <cell r="AC291" t="str">
            <v>Соответствует</v>
          </cell>
          <cell r="AD291">
            <v>29996104</v>
          </cell>
          <cell r="AE291">
            <v>20333.584598698482</v>
          </cell>
          <cell r="AF291">
            <v>2.9390290609796006</v>
          </cell>
          <cell r="AG291">
            <v>1475.2</v>
          </cell>
          <cell r="AH291">
            <v>0</v>
          </cell>
          <cell r="AI291">
            <v>0</v>
          </cell>
          <cell r="AL291">
            <v>10317438</v>
          </cell>
          <cell r="AM291" t="str">
            <v>По сроку службы</v>
          </cell>
        </row>
        <row r="292">
          <cell r="A292">
            <v>40</v>
          </cell>
          <cell r="B292" t="str">
            <v>Ц00001313</v>
          </cell>
          <cell r="C292" t="str">
            <v>Здание нежилое Об.пл.1174,7кв.м. ЛитерФ Кад№ 23:11:0902000:281 (Пристройка №1 к коров №3)(КС  МТФ№1)</v>
          </cell>
          <cell r="D292">
            <v>41898</v>
          </cell>
          <cell r="E292">
            <v>41898</v>
          </cell>
          <cell r="F292">
            <v>2498541.6</v>
          </cell>
          <cell r="G292">
            <v>0.98151841510437443</v>
          </cell>
          <cell r="H292">
            <v>2452364.5913043479</v>
          </cell>
          <cell r="I292">
            <v>1.2904109589041095</v>
          </cell>
          <cell r="J292" t="str">
            <v>металлопрофиль</v>
          </cell>
          <cell r="K292">
            <v>40</v>
          </cell>
          <cell r="L292">
            <v>60</v>
          </cell>
          <cell r="M292">
            <v>2.150684931506849E-2</v>
          </cell>
          <cell r="N292">
            <v>0</v>
          </cell>
          <cell r="O292">
            <v>0</v>
          </cell>
          <cell r="P292">
            <v>2.1506849315068521E-2</v>
          </cell>
          <cell r="Q292">
            <v>2374029.6</v>
          </cell>
          <cell r="R292">
            <v>2020.9667149059335</v>
          </cell>
          <cell r="S292" t="str">
            <v>Соответствует</v>
          </cell>
          <cell r="T292">
            <v>2399622</v>
          </cell>
          <cell r="U292">
            <v>2042.753043330212</v>
          </cell>
          <cell r="V292">
            <v>1.0107801520250632</v>
          </cell>
          <cell r="W292" t="str">
            <v>Соответствует</v>
          </cell>
          <cell r="X292" t="str">
            <v>отличное</v>
          </cell>
          <cell r="Y292">
            <v>0.1</v>
          </cell>
          <cell r="Z292">
            <v>2207128.1321739131</v>
          </cell>
          <cell r="AA292">
            <v>1878.8866367361138</v>
          </cell>
          <cell r="AB292">
            <v>0.92969697268050622</v>
          </cell>
          <cell r="AC292" t="str">
            <v>Соответствует</v>
          </cell>
          <cell r="AD292">
            <v>16040352</v>
          </cell>
          <cell r="AE292">
            <v>13654.849748872051</v>
          </cell>
          <cell r="AF292">
            <v>6.7565930938687533</v>
          </cell>
          <cell r="AG292">
            <v>1174.7</v>
          </cell>
          <cell r="AH292">
            <v>0</v>
          </cell>
          <cell r="AI292">
            <v>0</v>
          </cell>
          <cell r="AL292">
            <v>2399622</v>
          </cell>
          <cell r="AM292" t="str">
            <v>По сроку службы</v>
          </cell>
        </row>
        <row r="293">
          <cell r="A293">
            <v>42</v>
          </cell>
          <cell r="B293" t="str">
            <v>Ц00001307</v>
          </cell>
          <cell r="C293" t="str">
            <v>Здание нежилое Об.пл.800,6кв.м. ЛитерТ кад№ 23:11:0902000:286 (Пристройка №1 к коров №1)(КС  МТФ№1)</v>
          </cell>
          <cell r="D293">
            <v>41898</v>
          </cell>
          <cell r="E293">
            <v>41898</v>
          </cell>
          <cell r="F293">
            <v>3055917.25</v>
          </cell>
          <cell r="G293">
            <v>0.98151841510437443</v>
          </cell>
          <cell r="H293">
            <v>2999439.0559101184</v>
          </cell>
          <cell r="I293">
            <v>1.2904109589041095</v>
          </cell>
          <cell r="J293" t="str">
            <v>металлические</v>
          </cell>
          <cell r="K293" t="str">
            <v>КС-5</v>
          </cell>
          <cell r="L293">
            <v>40</v>
          </cell>
          <cell r="M293">
            <v>3.226027397260274E-2</v>
          </cell>
          <cell r="N293">
            <v>0</v>
          </cell>
          <cell r="O293">
            <v>0</v>
          </cell>
          <cell r="P293">
            <v>3.2260273972602782E-2</v>
          </cell>
          <cell r="Q293">
            <v>2903629</v>
          </cell>
          <cell r="R293">
            <v>3626.8161378965774</v>
          </cell>
          <cell r="S293" t="str">
            <v>Соответствует</v>
          </cell>
          <cell r="T293">
            <v>2902676</v>
          </cell>
          <cell r="U293">
            <v>3625.6257806645017</v>
          </cell>
          <cell r="V293">
            <v>0.99967179002551632</v>
          </cell>
          <cell r="W293" t="str">
            <v>Соответствует</v>
          </cell>
          <cell r="X293" t="str">
            <v>отличное</v>
          </cell>
          <cell r="Y293">
            <v>0.1</v>
          </cell>
          <cell r="Z293">
            <v>2699495.1503191064</v>
          </cell>
          <cell r="AA293">
            <v>3371.8400578554915</v>
          </cell>
          <cell r="AB293">
            <v>0.92969699307973108</v>
          </cell>
          <cell r="AC293" t="str">
            <v>Соответствует</v>
          </cell>
          <cell r="AD293">
            <v>12280724</v>
          </cell>
          <cell r="AE293">
            <v>15339.400449662753</v>
          </cell>
          <cell r="AF293">
            <v>4.2294397803576143</v>
          </cell>
          <cell r="AG293">
            <v>800.6</v>
          </cell>
          <cell r="AH293">
            <v>0</v>
          </cell>
          <cell r="AI293">
            <v>0</v>
          </cell>
          <cell r="AL293">
            <v>2902676</v>
          </cell>
          <cell r="AM293" t="str">
            <v>По сроку службы</v>
          </cell>
        </row>
        <row r="294">
          <cell r="A294">
            <v>43</v>
          </cell>
          <cell r="B294" t="str">
            <v>Ц00001311</v>
          </cell>
          <cell r="C294" t="str">
            <v xml:space="preserve">Здание нежилое Об.пл.829 кв.м. ЛитерЩ Кад№ 23:11:0902000:296 (Пристройка №1 к коров №2)(КС  МТФ№1)  </v>
          </cell>
          <cell r="D294">
            <v>41898</v>
          </cell>
          <cell r="E294">
            <v>41898</v>
          </cell>
          <cell r="F294">
            <v>3307858.48</v>
          </cell>
          <cell r="G294">
            <v>0.98151841510437443</v>
          </cell>
          <cell r="H294">
            <v>3246724.0126791652</v>
          </cell>
          <cell r="I294">
            <v>1.2904109589041095</v>
          </cell>
          <cell r="J294" t="str">
            <v>металлические</v>
          </cell>
          <cell r="K294" t="str">
            <v>КС-5</v>
          </cell>
          <cell r="L294">
            <v>40</v>
          </cell>
          <cell r="M294">
            <v>3.226027397260274E-2</v>
          </cell>
          <cell r="N294">
            <v>0</v>
          </cell>
          <cell r="O294">
            <v>0</v>
          </cell>
          <cell r="P294">
            <v>3.2260273972602782E-2</v>
          </cell>
          <cell r="Q294">
            <v>3143015.08</v>
          </cell>
          <cell r="R294">
            <v>3791.3330277442701</v>
          </cell>
          <cell r="S294" t="str">
            <v>Соответствует</v>
          </cell>
          <cell r="T294">
            <v>3141984</v>
          </cell>
          <cell r="U294">
            <v>3790.0892641737032</v>
          </cell>
          <cell r="V294">
            <v>0.99967194557653849</v>
          </cell>
          <cell r="W294" t="str">
            <v>Соответствует</v>
          </cell>
          <cell r="X294" t="str">
            <v>отличное</v>
          </cell>
          <cell r="Y294">
            <v>0.1</v>
          </cell>
          <cell r="Z294">
            <v>2922051.6114112488</v>
          </cell>
          <cell r="AA294">
            <v>3524.7908460931831</v>
          </cell>
          <cell r="AB294">
            <v>0.92969697473142532</v>
          </cell>
          <cell r="AC294" t="str">
            <v>Соответствует</v>
          </cell>
          <cell r="AD294">
            <v>12709611</v>
          </cell>
          <cell r="AE294">
            <v>15331.255729794933</v>
          </cell>
          <cell r="AF294">
            <v>4.0437639261978982</v>
          </cell>
          <cell r="AG294">
            <v>829</v>
          </cell>
          <cell r="AH294">
            <v>0</v>
          </cell>
          <cell r="AI294">
            <v>0</v>
          </cell>
          <cell r="AL294">
            <v>3141984</v>
          </cell>
          <cell r="AM294" t="str">
            <v>По сроку службы</v>
          </cell>
        </row>
        <row r="295">
          <cell r="A295">
            <v>44</v>
          </cell>
          <cell r="B295" t="str">
            <v>Ц00001310</v>
          </cell>
          <cell r="C295" t="str">
            <v>Здание нежилое Об.пл.829кв.м.  Литер Э Кад№ 23:11:0902000:297 (Пристройка №2 к коров №2)(КС  МТФ№1)</v>
          </cell>
          <cell r="D295">
            <v>41898</v>
          </cell>
          <cell r="E295">
            <v>41898</v>
          </cell>
          <cell r="F295">
            <v>2807859.32</v>
          </cell>
          <cell r="G295">
            <v>0.98151841510437443</v>
          </cell>
          <cell r="H295">
            <v>2755965.6296024462</v>
          </cell>
          <cell r="I295">
            <v>1.2904109589041095</v>
          </cell>
          <cell r="J295" t="str">
            <v>металлические</v>
          </cell>
          <cell r="K295" t="str">
            <v>КС-5</v>
          </cell>
          <cell r="L295">
            <v>40</v>
          </cell>
          <cell r="M295">
            <v>3.226027397260274E-2</v>
          </cell>
          <cell r="N295">
            <v>0</v>
          </cell>
          <cell r="O295">
            <v>0</v>
          </cell>
          <cell r="P295">
            <v>3.2260273972602782E-2</v>
          </cell>
          <cell r="Q295">
            <v>2667932.7199999997</v>
          </cell>
          <cell r="R295">
            <v>3218.2541857659826</v>
          </cell>
          <cell r="S295" t="str">
            <v>Соответствует</v>
          </cell>
          <cell r="T295">
            <v>2667057</v>
          </cell>
          <cell r="U295">
            <v>3217.1978287092884</v>
          </cell>
          <cell r="V295">
            <v>0.99967176083810694</v>
          </cell>
          <cell r="W295" t="str">
            <v>Соответствует</v>
          </cell>
          <cell r="X295" t="str">
            <v>отличное</v>
          </cell>
          <cell r="Y295">
            <v>0.1</v>
          </cell>
          <cell r="Z295">
            <v>2480369.0666422015</v>
          </cell>
          <cell r="AA295">
            <v>2992.0012866612806</v>
          </cell>
          <cell r="AB295">
            <v>0.92969700774245978</v>
          </cell>
          <cell r="AC295" t="str">
            <v>Соответствует</v>
          </cell>
          <cell r="AD295">
            <v>12709611</v>
          </cell>
          <cell r="AE295">
            <v>15331.255729794933</v>
          </cell>
          <cell r="AF295">
            <v>4.7638423955458675</v>
          </cell>
          <cell r="AG295">
            <v>829</v>
          </cell>
          <cell r="AH295">
            <v>0</v>
          </cell>
          <cell r="AI295">
            <v>0</v>
          </cell>
          <cell r="AL295">
            <v>2667057</v>
          </cell>
          <cell r="AM295" t="str">
            <v>По сроку службы</v>
          </cell>
        </row>
        <row r="296">
          <cell r="A296">
            <v>60</v>
          </cell>
          <cell r="B296" t="str">
            <v>Ц00004386</v>
          </cell>
          <cell r="C296" t="str">
            <v>Коровник №11 МТФ№1 (КС)</v>
          </cell>
          <cell r="D296">
            <v>42150</v>
          </cell>
          <cell r="E296">
            <v>42150</v>
          </cell>
          <cell r="F296">
            <v>10369676.810000001</v>
          </cell>
          <cell r="G296">
            <v>1.0055850701539299</v>
          </cell>
          <cell r="H296">
            <v>10427592.18245743</v>
          </cell>
          <cell r="I296">
            <v>0.6</v>
          </cell>
          <cell r="J296" t="str">
            <v>металлические</v>
          </cell>
          <cell r="K296" t="str">
            <v>КС-5</v>
          </cell>
          <cell r="L296">
            <v>40</v>
          </cell>
          <cell r="M296">
            <v>1.4999999999999999E-2</v>
          </cell>
          <cell r="N296">
            <v>0</v>
          </cell>
          <cell r="O296">
            <v>0</v>
          </cell>
          <cell r="P296">
            <v>1.5000000000000013E-2</v>
          </cell>
          <cell r="Q296">
            <v>10168602.720000001</v>
          </cell>
          <cell r="R296">
            <v>7189.8484904192892</v>
          </cell>
          <cell r="S296" t="str">
            <v>Соответствует</v>
          </cell>
          <cell r="T296">
            <v>10271178</v>
          </cell>
          <cell r="U296">
            <v>7262.3757335784485</v>
          </cell>
          <cell r="V296">
            <v>1.010087450835133</v>
          </cell>
          <cell r="W296" t="str">
            <v>Соответствует</v>
          </cell>
          <cell r="X296" t="str">
            <v>отличное</v>
          </cell>
          <cell r="Y296">
            <v>0.05</v>
          </cell>
          <cell r="Z296">
            <v>9906212.5733345579</v>
          </cell>
          <cell r="AA296">
            <v>7004.3219778933453</v>
          </cell>
          <cell r="AB296">
            <v>0.97419604699971574</v>
          </cell>
          <cell r="AC296" t="str">
            <v>Соответствует</v>
          </cell>
          <cell r="AD296">
            <v>29249902</v>
          </cell>
          <cell r="AE296">
            <v>20681.539984444604</v>
          </cell>
          <cell r="AF296">
            <v>2.8764917664125242</v>
          </cell>
          <cell r="AG296">
            <v>1414.3</v>
          </cell>
          <cell r="AH296">
            <v>0</v>
          </cell>
          <cell r="AI296">
            <v>0</v>
          </cell>
          <cell r="AL296">
            <v>10271178</v>
          </cell>
          <cell r="AM296" t="str">
            <v>По сроку службы</v>
          </cell>
        </row>
        <row r="297">
          <cell r="A297">
            <v>61</v>
          </cell>
          <cell r="B297" t="str">
            <v>Ц00004055</v>
          </cell>
          <cell r="C297" t="str">
            <v>Коровник №12 МТФ№1 (КС)</v>
          </cell>
          <cell r="D297">
            <v>42150</v>
          </cell>
          <cell r="E297">
            <v>42150</v>
          </cell>
          <cell r="F297">
            <v>10408465.74</v>
          </cell>
          <cell r="G297">
            <v>1.0055850701539299</v>
          </cell>
          <cell r="H297">
            <v>10466597.751352677</v>
          </cell>
          <cell r="I297">
            <v>0.6</v>
          </cell>
          <cell r="J297" t="str">
            <v>металлические</v>
          </cell>
          <cell r="K297" t="str">
            <v>КС-5</v>
          </cell>
          <cell r="L297">
            <v>40</v>
          </cell>
          <cell r="M297">
            <v>1.4999999999999999E-2</v>
          </cell>
          <cell r="N297">
            <v>0</v>
          </cell>
          <cell r="O297">
            <v>0</v>
          </cell>
          <cell r="P297">
            <v>1.5000000000000013E-2</v>
          </cell>
          <cell r="Q297">
            <v>10206639.5</v>
          </cell>
          <cell r="R297">
            <v>7216.7429116877611</v>
          </cell>
          <cell r="S297" t="str">
            <v>Соответствует</v>
          </cell>
          <cell r="T297">
            <v>10309599</v>
          </cell>
          <cell r="U297">
            <v>7289.5418228098706</v>
          </cell>
          <cell r="V297">
            <v>1.010087502355697</v>
          </cell>
          <cell r="W297" t="str">
            <v>Соответствует</v>
          </cell>
          <cell r="X297" t="str">
            <v>отличное</v>
          </cell>
          <cell r="Y297">
            <v>0.05</v>
          </cell>
          <cell r="Z297">
            <v>9943267.8637850434</v>
          </cell>
          <cell r="AA297">
            <v>7030.5224236619133</v>
          </cell>
          <cell r="AB297">
            <v>0.97419604795339776</v>
          </cell>
          <cell r="AC297" t="str">
            <v>Соответствует</v>
          </cell>
          <cell r="AD297">
            <v>29249902</v>
          </cell>
          <cell r="AE297">
            <v>20681.539984444604</v>
          </cell>
          <cell r="AF297">
            <v>2.8657720300594529</v>
          </cell>
          <cell r="AG297">
            <v>1414.3</v>
          </cell>
          <cell r="AH297">
            <v>0</v>
          </cell>
          <cell r="AI297">
            <v>0</v>
          </cell>
          <cell r="AL297">
            <v>10309599</v>
          </cell>
          <cell r="AM297" t="str">
            <v>По сроку службы</v>
          </cell>
        </row>
        <row r="298">
          <cell r="A298">
            <v>62</v>
          </cell>
          <cell r="B298" t="str">
            <v>Ц00004387</v>
          </cell>
          <cell r="C298" t="str">
            <v>Коровник №13 МТФ№1 (КС)</v>
          </cell>
          <cell r="D298">
            <v>42150</v>
          </cell>
          <cell r="E298">
            <v>42150</v>
          </cell>
          <cell r="F298">
            <v>9526236.3699999992</v>
          </cell>
          <cell r="G298">
            <v>1.0055850701539299</v>
          </cell>
          <cell r="H298">
            <v>9579441.0684293676</v>
          </cell>
          <cell r="I298">
            <v>0.6</v>
          </cell>
          <cell r="J298" t="str">
            <v>металлические</v>
          </cell>
          <cell r="K298" t="str">
            <v>КС-5</v>
          </cell>
          <cell r="L298">
            <v>40</v>
          </cell>
          <cell r="M298">
            <v>1.4999999999999999E-2</v>
          </cell>
          <cell r="N298">
            <v>0</v>
          </cell>
          <cell r="O298">
            <v>0</v>
          </cell>
          <cell r="P298">
            <v>1.5000000000000013E-2</v>
          </cell>
          <cell r="Q298">
            <v>9341517.0800000001</v>
          </cell>
          <cell r="R298">
            <v>6785.4413307183841</v>
          </cell>
          <cell r="S298" t="str">
            <v>Соответствует</v>
          </cell>
          <cell r="T298">
            <v>9435749</v>
          </cell>
          <cell r="U298">
            <v>6853.8890099513328</v>
          </cell>
          <cell r="V298">
            <v>1.0100874321796991</v>
          </cell>
          <cell r="W298" t="str">
            <v>Соответствует</v>
          </cell>
          <cell r="X298" t="str">
            <v>отличное</v>
          </cell>
          <cell r="Y298">
            <v>0.05</v>
          </cell>
          <cell r="Z298">
            <v>9100469.0150078982</v>
          </cell>
          <cell r="AA298">
            <v>6610.3501234894293</v>
          </cell>
          <cell r="AB298">
            <v>0.9741960472878457</v>
          </cell>
          <cell r="AC298" t="str">
            <v>Соответствует</v>
          </cell>
          <cell r="AD298">
            <v>27022396</v>
          </cell>
          <cell r="AE298">
            <v>19628.383816372483</v>
          </cell>
          <cell r="AF298">
            <v>2.8927202903535236</v>
          </cell>
          <cell r="AG298">
            <v>1376.7</v>
          </cell>
          <cell r="AH298">
            <v>0</v>
          </cell>
          <cell r="AI298">
            <v>0</v>
          </cell>
          <cell r="AL298">
            <v>9435749</v>
          </cell>
          <cell r="AM298" t="str">
            <v>По сроку службы</v>
          </cell>
        </row>
        <row r="299">
          <cell r="A299">
            <v>63</v>
          </cell>
          <cell r="B299" t="str">
            <v>Ц00004388</v>
          </cell>
          <cell r="C299" t="str">
            <v>Коровник №14 МТФ№1 (КС)</v>
          </cell>
          <cell r="D299">
            <v>42150</v>
          </cell>
          <cell r="E299">
            <v>42150</v>
          </cell>
          <cell r="F299">
            <v>9577721.2400000002</v>
          </cell>
          <cell r="G299">
            <v>1.0055850701539299</v>
          </cell>
          <cell r="H299">
            <v>9631213.485040186</v>
          </cell>
          <cell r="I299">
            <v>0.6</v>
          </cell>
          <cell r="J299" t="str">
            <v>металлические</v>
          </cell>
          <cell r="K299" t="str">
            <v>КС-5</v>
          </cell>
          <cell r="L299">
            <v>40</v>
          </cell>
          <cell r="M299">
            <v>1.4999999999999999E-2</v>
          </cell>
          <cell r="N299">
            <v>0</v>
          </cell>
          <cell r="O299">
            <v>0</v>
          </cell>
          <cell r="P299">
            <v>1.5000000000000013E-2</v>
          </cell>
          <cell r="Q299">
            <v>9392003.6799999997</v>
          </cell>
          <cell r="R299">
            <v>6822.1135178324976</v>
          </cell>
          <cell r="S299" t="str">
            <v>Соответствует</v>
          </cell>
          <cell r="T299">
            <v>9486745</v>
          </cell>
          <cell r="U299">
            <v>6890.931212319314</v>
          </cell>
          <cell r="V299">
            <v>1.0100874449401835</v>
          </cell>
          <cell r="W299" t="str">
            <v>Соответствует</v>
          </cell>
          <cell r="X299" t="str">
            <v>отличное</v>
          </cell>
          <cell r="Y299">
            <v>0.05</v>
          </cell>
          <cell r="Z299">
            <v>9149652.810788177</v>
          </cell>
          <cell r="AA299">
            <v>6646.0759866261178</v>
          </cell>
          <cell r="AB299">
            <v>0.97419604192363107</v>
          </cell>
          <cell r="AC299" t="str">
            <v>Соответствует</v>
          </cell>
          <cell r="AD299">
            <v>27022396</v>
          </cell>
          <cell r="AE299">
            <v>19628.383816372483</v>
          </cell>
          <cell r="AF299">
            <v>2.8771705080933274</v>
          </cell>
          <cell r="AG299">
            <v>1376.7</v>
          </cell>
          <cell r="AH299">
            <v>0</v>
          </cell>
          <cell r="AI299">
            <v>0</v>
          </cell>
          <cell r="AL299">
            <v>9486745</v>
          </cell>
          <cell r="AM299" t="str">
            <v>По сроку службы</v>
          </cell>
        </row>
        <row r="300">
          <cell r="A300">
            <v>64</v>
          </cell>
          <cell r="B300" t="str">
            <v>Ц00004391</v>
          </cell>
          <cell r="C300" t="str">
            <v>Коровник №15 МТФ№1 (КС)</v>
          </cell>
          <cell r="D300">
            <v>42150</v>
          </cell>
          <cell r="E300">
            <v>42150</v>
          </cell>
          <cell r="F300">
            <v>7122871.9800000004</v>
          </cell>
          <cell r="G300">
            <v>1.0055850701539299</v>
          </cell>
          <cell r="H300">
            <v>7162653.7197057623</v>
          </cell>
          <cell r="I300">
            <v>0.6</v>
          </cell>
          <cell r="J300" t="str">
            <v>металлические</v>
          </cell>
          <cell r="K300" t="str">
            <v>КС-5</v>
          </cell>
          <cell r="L300">
            <v>40</v>
          </cell>
          <cell r="M300">
            <v>1.4999999999999999E-2</v>
          </cell>
          <cell r="N300">
            <v>0</v>
          </cell>
          <cell r="O300">
            <v>0</v>
          </cell>
          <cell r="P300">
            <v>1.5000000000000013E-2</v>
          </cell>
          <cell r="Q300">
            <v>6984755.3300000001</v>
          </cell>
          <cell r="R300">
            <v>6182.8408692573248</v>
          </cell>
          <cell r="S300" t="str">
            <v>Соответствует</v>
          </cell>
          <cell r="T300">
            <v>7055214</v>
          </cell>
          <cell r="U300">
            <v>6245.2102328051697</v>
          </cell>
          <cell r="V300">
            <v>1.0100874929286894</v>
          </cell>
          <cell r="W300" t="str">
            <v>Соответствует</v>
          </cell>
          <cell r="X300" t="str">
            <v>отличное</v>
          </cell>
          <cell r="Y300">
            <v>0.05</v>
          </cell>
          <cell r="Z300">
            <v>6804521.0337204738</v>
          </cell>
          <cell r="AA300">
            <v>6023.2991358063855</v>
          </cell>
          <cell r="AB300">
            <v>0.97419604728237108</v>
          </cell>
          <cell r="AC300" t="str">
            <v>Соответствует</v>
          </cell>
          <cell r="AD300">
            <v>17499097</v>
          </cell>
          <cell r="AE300">
            <v>15490.038948393378</v>
          </cell>
          <cell r="AF300">
            <v>2.5053271264692962</v>
          </cell>
          <cell r="AG300">
            <v>1129.7</v>
          </cell>
          <cell r="AH300">
            <v>0</v>
          </cell>
          <cell r="AI300">
            <v>0</v>
          </cell>
          <cell r="AL300">
            <v>7055214</v>
          </cell>
          <cell r="AM300" t="str">
            <v>По сроку службы</v>
          </cell>
        </row>
        <row r="301">
          <cell r="A301">
            <v>65</v>
          </cell>
          <cell r="B301" t="str">
            <v>Р00009091</v>
          </cell>
          <cell r="C301" t="str">
            <v>Коровник №8 МТФ№5 Об.пл. 1448,5 кв.м. Литер П Кад№ 23:11:0702000:812</v>
          </cell>
          <cell r="D301">
            <v>40908</v>
          </cell>
          <cell r="E301">
            <v>40908</v>
          </cell>
          <cell r="F301">
            <v>6131355.9000000004</v>
          </cell>
          <cell r="G301">
            <v>1.4002276176024278</v>
          </cell>
          <cell r="H301">
            <v>8585293.8645295892</v>
          </cell>
          <cell r="I301">
            <v>4.0027397260273974</v>
          </cell>
          <cell r="J301" t="str">
            <v>поликарбонат</v>
          </cell>
          <cell r="K301" t="str">
            <v>КС-6</v>
          </cell>
          <cell r="L301">
            <v>35</v>
          </cell>
          <cell r="M301">
            <v>0.11436399217221135</v>
          </cell>
          <cell r="N301">
            <v>0</v>
          </cell>
          <cell r="O301">
            <v>0</v>
          </cell>
          <cell r="P301">
            <v>0.11436399217221138</v>
          </cell>
          <cell r="Q301">
            <v>5316106.1400000006</v>
          </cell>
          <cell r="R301">
            <v>3670.0767276492929</v>
          </cell>
          <cell r="S301" t="str">
            <v>Соответствует</v>
          </cell>
          <cell r="T301">
            <v>7603445</v>
          </cell>
          <cell r="U301">
            <v>5249.1853641698308</v>
          </cell>
          <cell r="V301">
            <v>1.4302658373935324</v>
          </cell>
          <cell r="W301" t="str">
            <v>Соответствует</v>
          </cell>
          <cell r="X301" t="str">
            <v>отличное</v>
          </cell>
          <cell r="Y301">
            <v>0.15</v>
          </cell>
          <cell r="Z301">
            <v>7297499.7848501503</v>
          </cell>
          <cell r="AA301">
            <v>5037.9701655851923</v>
          </cell>
          <cell r="AB301">
            <v>1.3727152153606454</v>
          </cell>
          <cell r="AC301" t="str">
            <v>Соответствует</v>
          </cell>
          <cell r="AD301">
            <v>29324485</v>
          </cell>
          <cell r="AE301">
            <v>20244.725578184327</v>
          </cell>
          <cell r="AF301">
            <v>5.5161586747400788</v>
          </cell>
          <cell r="AG301">
            <v>1448.5</v>
          </cell>
          <cell r="AH301">
            <v>0</v>
          </cell>
          <cell r="AI301">
            <v>0</v>
          </cell>
          <cell r="AL301">
            <v>7297499.7848501503</v>
          </cell>
          <cell r="AM301" t="str">
            <v>Экспертно</v>
          </cell>
        </row>
        <row r="302">
          <cell r="A302">
            <v>66</v>
          </cell>
          <cell r="B302" t="str">
            <v>Р00009092</v>
          </cell>
          <cell r="C302" t="str">
            <v>Коровник №9 МТФ№5 Об.пл. 1448,5 кв.м. Литер Н Кад№  23:11:0702000:825</v>
          </cell>
          <cell r="D302">
            <v>40908</v>
          </cell>
          <cell r="E302">
            <v>40908</v>
          </cell>
          <cell r="F302">
            <v>6131355.9699999997</v>
          </cell>
          <cell r="G302">
            <v>1.4002276176024278</v>
          </cell>
          <cell r="H302">
            <v>8585293.9625455216</v>
          </cell>
          <cell r="I302">
            <v>4.0027397260273974</v>
          </cell>
          <cell r="J302" t="str">
            <v>поликарбонат</v>
          </cell>
          <cell r="K302" t="str">
            <v>КС-6</v>
          </cell>
          <cell r="L302">
            <v>35</v>
          </cell>
          <cell r="M302">
            <v>0.11436399217221135</v>
          </cell>
          <cell r="N302">
            <v>0</v>
          </cell>
          <cell r="O302">
            <v>0</v>
          </cell>
          <cell r="P302">
            <v>0.11436399217221138</v>
          </cell>
          <cell r="Q302">
            <v>5316106.21</v>
          </cell>
          <cell r="R302">
            <v>3670.0767759751466</v>
          </cell>
          <cell r="S302" t="str">
            <v>Соответствует</v>
          </cell>
          <cell r="T302">
            <v>7603445</v>
          </cell>
          <cell r="U302">
            <v>5249.1853641698308</v>
          </cell>
          <cell r="V302">
            <v>1.4302658185604611</v>
          </cell>
          <cell r="W302" t="str">
            <v>Соответствует</v>
          </cell>
          <cell r="X302" t="str">
            <v>отличное</v>
          </cell>
          <cell r="Y302">
            <v>0.15</v>
          </cell>
          <cell r="Z302">
            <v>7297499.8681636928</v>
          </cell>
          <cell r="AA302">
            <v>5037.9702231023075</v>
          </cell>
          <cell r="AB302">
            <v>1.3727152129572846</v>
          </cell>
          <cell r="AC302" t="str">
            <v>Соответствует</v>
          </cell>
          <cell r="AD302">
            <v>29324485</v>
          </cell>
          <cell r="AE302">
            <v>20244.725578184327</v>
          </cell>
          <cell r="AF302">
            <v>5.5161586021058824</v>
          </cell>
          <cell r="AG302">
            <v>1448.5</v>
          </cell>
          <cell r="AH302">
            <v>0</v>
          </cell>
          <cell r="AI302">
            <v>0</v>
          </cell>
          <cell r="AL302">
            <v>7297499.8681636928</v>
          </cell>
          <cell r="AM302" t="str">
            <v>Экспертно</v>
          </cell>
        </row>
        <row r="303">
          <cell r="A303">
            <v>68</v>
          </cell>
          <cell r="B303">
            <v>352</v>
          </cell>
          <cell r="C303" t="str">
            <v>Коровник-4-х рядный К-1 МТФ №3  Литер А Об.пл. 3249,6 кв.м. Кад№ 23:11:0702000:780</v>
          </cell>
          <cell r="D303">
            <v>26648</v>
          </cell>
          <cell r="E303">
            <v>26648</v>
          </cell>
          <cell r="F303">
            <v>13597391.02</v>
          </cell>
          <cell r="G303">
            <v>13.261762999999998</v>
          </cell>
          <cell r="H303">
            <v>180325377.12556824</v>
          </cell>
          <cell r="I303">
            <v>43.07123287671233</v>
          </cell>
          <cell r="J303" t="str">
            <v>профнастил</v>
          </cell>
          <cell r="K303" t="str">
            <v>КС-5</v>
          </cell>
          <cell r="L303">
            <v>40</v>
          </cell>
          <cell r="M303">
            <v>0.8</v>
          </cell>
          <cell r="N303">
            <v>0</v>
          </cell>
          <cell r="O303">
            <v>0</v>
          </cell>
          <cell r="P303">
            <v>0.8</v>
          </cell>
          <cell r="Q303">
            <v>11824784.699999999</v>
          </cell>
          <cell r="R303">
            <v>6545.6876280099632</v>
          </cell>
          <cell r="S303" t="str">
            <v>Соответствует</v>
          </cell>
          <cell r="T303">
            <v>36065075</v>
          </cell>
          <cell r="U303">
            <v>19964.060337669525</v>
          </cell>
          <cell r="V303">
            <v>3.0499561653752565</v>
          </cell>
          <cell r="W303" t="str">
            <v>Не соответствует</v>
          </cell>
          <cell r="X303" t="str">
            <v>хорошее</v>
          </cell>
          <cell r="Y303">
            <v>0.3</v>
          </cell>
          <cell r="Z303">
            <v>126227763.98789775</v>
          </cell>
          <cell r="AA303">
            <v>69874.21200547897</v>
          </cell>
          <cell r="AB303">
            <v>10.674846704642137</v>
          </cell>
          <cell r="AC303" t="str">
            <v>Не соответствует</v>
          </cell>
          <cell r="AD303">
            <v>9105658</v>
          </cell>
          <cell r="AE303">
            <v>5040.4970938278439</v>
          </cell>
          <cell r="AF303">
            <v>0.77004852358960929</v>
          </cell>
          <cell r="AG303">
            <v>1806.5</v>
          </cell>
          <cell r="AH303">
            <v>0</v>
          </cell>
          <cell r="AI303">
            <v>0</v>
          </cell>
          <cell r="AL303">
            <v>9105658</v>
          </cell>
          <cell r="AM303" t="str">
            <v>Ко-Инвест</v>
          </cell>
        </row>
        <row r="304">
          <cell r="A304">
            <v>74</v>
          </cell>
          <cell r="B304">
            <v>316</v>
          </cell>
          <cell r="C304" t="str">
            <v>Корпус №6 МТФ №5(398)   Литер В,В1,В2 Об.пл. 2970,50 кв.м. Кад№ 23:11:0702000:747</v>
          </cell>
          <cell r="D304">
            <v>28854</v>
          </cell>
          <cell r="E304">
            <v>28854</v>
          </cell>
          <cell r="F304">
            <v>15123775.970000001</v>
          </cell>
          <cell r="G304">
            <v>13.261762999999998</v>
          </cell>
          <cell r="H304">
            <v>200567932.57923511</v>
          </cell>
          <cell r="I304">
            <v>37.027397260273972</v>
          </cell>
          <cell r="J304" t="str">
            <v>ж/б панели, обшивка полимерным материалом</v>
          </cell>
          <cell r="K304" t="str">
            <v>КС-4</v>
          </cell>
          <cell r="L304">
            <v>45</v>
          </cell>
          <cell r="M304">
            <v>0.8</v>
          </cell>
          <cell r="N304">
            <v>0</v>
          </cell>
          <cell r="O304">
            <v>0</v>
          </cell>
          <cell r="P304">
            <v>0.8</v>
          </cell>
          <cell r="Q304">
            <v>12824705.690000001</v>
          </cell>
          <cell r="R304">
            <v>4317.3558963137521</v>
          </cell>
          <cell r="S304" t="str">
            <v>Соответствует</v>
          </cell>
          <cell r="T304">
            <v>40113587</v>
          </cell>
          <cell r="U304">
            <v>13503.984851035179</v>
          </cell>
          <cell r="V304">
            <v>3.1278368462894526</v>
          </cell>
          <cell r="W304" t="str">
            <v>Не соответствует</v>
          </cell>
          <cell r="X304" t="str">
            <v>хорошее</v>
          </cell>
          <cell r="Y304">
            <v>0.3</v>
          </cell>
          <cell r="Z304">
            <v>140397552.80546457</v>
          </cell>
          <cell r="AA304">
            <v>47263.946408168515</v>
          </cell>
          <cell r="AB304">
            <v>10.947428829882533</v>
          </cell>
          <cell r="AC304" t="str">
            <v>Не соответствует</v>
          </cell>
          <cell r="AD304">
            <v>8687023</v>
          </cell>
          <cell r="AE304">
            <v>2924.4312405318969</v>
          </cell>
          <cell r="AF304">
            <v>0.67736626554897561</v>
          </cell>
          <cell r="AG304">
            <v>2970.5</v>
          </cell>
          <cell r="AH304">
            <v>0</v>
          </cell>
          <cell r="AI304">
            <v>0</v>
          </cell>
          <cell r="AL304">
            <v>8687023</v>
          </cell>
          <cell r="AM304" t="str">
            <v>Ко-Инвест</v>
          </cell>
        </row>
        <row r="305">
          <cell r="A305">
            <v>75</v>
          </cell>
          <cell r="B305">
            <v>374</v>
          </cell>
          <cell r="C305" t="str">
            <v>Корпус №7 МТФ №5(410)   Литер Б Об.пл. 3796,6 кв.м. Кад№  23:11:0702000:748</v>
          </cell>
          <cell r="D305">
            <v>28855</v>
          </cell>
          <cell r="E305">
            <v>28855</v>
          </cell>
          <cell r="F305">
            <v>9894627.5999999996</v>
          </cell>
          <cell r="G305">
            <v>13.261762999999998</v>
          </cell>
          <cell r="H305">
            <v>131220206.20445877</v>
          </cell>
          <cell r="I305">
            <v>37.024657534246572</v>
          </cell>
          <cell r="J305" t="str">
            <v>металлические конструкции с обшивкой полимерным материалом</v>
          </cell>
          <cell r="K305" t="str">
            <v>КС-5</v>
          </cell>
          <cell r="L305">
            <v>40</v>
          </cell>
          <cell r="M305">
            <v>0.8</v>
          </cell>
          <cell r="N305">
            <v>0</v>
          </cell>
          <cell r="O305">
            <v>0</v>
          </cell>
          <cell r="P305">
            <v>0.8</v>
          </cell>
          <cell r="Q305">
            <v>8300475.8799999999</v>
          </cell>
          <cell r="R305">
            <v>2186.2919138176262</v>
          </cell>
          <cell r="S305" t="str">
            <v>Соответствует</v>
          </cell>
          <cell r="T305">
            <v>26244041</v>
          </cell>
          <cell r="U305">
            <v>6912.5114576199758</v>
          </cell>
          <cell r="V305">
            <v>3.1617513717779757</v>
          </cell>
          <cell r="W305" t="str">
            <v>Не соответствует</v>
          </cell>
          <cell r="X305" t="str">
            <v>хорошее</v>
          </cell>
          <cell r="Y305">
            <v>0.3</v>
          </cell>
          <cell r="Z305">
            <v>91854144.343121141</v>
          </cell>
          <cell r="AA305">
            <v>24193.790323742596</v>
          </cell>
          <cell r="AB305">
            <v>11.066129902797952</v>
          </cell>
          <cell r="AC305" t="str">
            <v>Не соответствует</v>
          </cell>
          <cell r="AD305">
            <v>10508277</v>
          </cell>
          <cell r="AE305">
            <v>2767.8125164620978</v>
          </cell>
          <cell r="AF305">
            <v>1.2659848847124173</v>
          </cell>
          <cell r="AG305">
            <v>3796.6</v>
          </cell>
          <cell r="AH305">
            <v>0</v>
          </cell>
          <cell r="AI305">
            <v>0</v>
          </cell>
          <cell r="AL305">
            <v>10508277</v>
          </cell>
          <cell r="AM305" t="str">
            <v>Ко-Инвест</v>
          </cell>
        </row>
        <row r="306">
          <cell r="A306">
            <v>81</v>
          </cell>
          <cell r="B306">
            <v>372</v>
          </cell>
          <cell r="C306" t="str">
            <v>Корпус-маточник 691,9кв.м.(Корпус -откорм, для свиней на 350гол СТФ Литер Х) Кад№ 23:11:0702000:750</v>
          </cell>
          <cell r="D306">
            <v>37605</v>
          </cell>
          <cell r="E306">
            <v>37605</v>
          </cell>
          <cell r="F306">
            <v>2693429</v>
          </cell>
          <cell r="G306">
            <v>4.5511713933415532</v>
          </cell>
          <cell r="H306">
            <v>12258257.014796546</v>
          </cell>
          <cell r="I306">
            <v>13.052054794520547</v>
          </cell>
          <cell r="J306" t="str">
            <v>каменные</v>
          </cell>
          <cell r="K306" t="str">
            <v>КС-1</v>
          </cell>
          <cell r="L306">
            <v>60</v>
          </cell>
          <cell r="M306">
            <v>0.21753424657534245</v>
          </cell>
          <cell r="N306">
            <v>0</v>
          </cell>
          <cell r="O306">
            <v>0</v>
          </cell>
          <cell r="P306">
            <v>0.21753424657534248</v>
          </cell>
          <cell r="Q306">
            <v>2360764.17</v>
          </cell>
          <cell r="R306">
            <v>3412.0019800549212</v>
          </cell>
          <cell r="S306" t="str">
            <v>Соответствует</v>
          </cell>
          <cell r="T306">
            <v>9591666</v>
          </cell>
          <cell r="U306">
            <v>13862.792311027606</v>
          </cell>
          <cell r="V306">
            <v>4.0629496676917123</v>
          </cell>
          <cell r="W306" t="str">
            <v>Не соответствует</v>
          </cell>
          <cell r="X306" t="str">
            <v>хорошее</v>
          </cell>
          <cell r="Y306">
            <v>0.4</v>
          </cell>
          <cell r="Z306">
            <v>7354954.2088779276</v>
          </cell>
          <cell r="AA306">
            <v>10630.08268373743</v>
          </cell>
          <cell r="AB306">
            <v>3.1154972200708757</v>
          </cell>
          <cell r="AC306" t="str">
            <v>Не соответствует</v>
          </cell>
          <cell r="AD306">
            <v>4888619</v>
          </cell>
          <cell r="AE306">
            <v>7065.4993496169973</v>
          </cell>
          <cell r="AF306">
            <v>2.0707782090745641</v>
          </cell>
          <cell r="AG306">
            <v>691.9</v>
          </cell>
          <cell r="AH306">
            <v>0</v>
          </cell>
          <cell r="AI306">
            <v>0</v>
          </cell>
          <cell r="AL306">
            <v>4888619</v>
          </cell>
          <cell r="AM306" t="str">
            <v>Ко-Инвест</v>
          </cell>
        </row>
        <row r="307">
          <cell r="A307">
            <v>93</v>
          </cell>
          <cell r="B307">
            <v>530</v>
          </cell>
          <cell r="C307" t="str">
            <v>Нежилое здание об.S- 117,7кв.м. (Насосная орошения(284)  Литер А Кад№ 23:11:0702000:822</v>
          </cell>
          <cell r="D307">
            <v>26648</v>
          </cell>
          <cell r="E307">
            <v>26648</v>
          </cell>
          <cell r="F307">
            <v>3482843.71</v>
          </cell>
          <cell r="G307">
            <v>13.261762999999998</v>
          </cell>
          <cell r="H307">
            <v>46188647.848060727</v>
          </cell>
          <cell r="I307">
            <v>43.07123287671233</v>
          </cell>
          <cell r="J307" t="str">
            <v>каменные</v>
          </cell>
          <cell r="K307" t="str">
            <v>КС-1</v>
          </cell>
          <cell r="L307">
            <v>60</v>
          </cell>
          <cell r="M307">
            <v>0.71785388127853877</v>
          </cell>
          <cell r="N307">
            <v>0</v>
          </cell>
          <cell r="O307">
            <v>0</v>
          </cell>
          <cell r="P307">
            <v>0.71785388127853877</v>
          </cell>
          <cell r="Q307">
            <v>2769174.31</v>
          </cell>
          <cell r="R307">
            <v>23527.394307561597</v>
          </cell>
          <cell r="S307" t="str">
            <v>Соответствует</v>
          </cell>
          <cell r="T307">
            <v>13031948</v>
          </cell>
          <cell r="U307">
            <v>110721.73322005097</v>
          </cell>
          <cell r="V307">
            <v>4.7060771699850124</v>
          </cell>
          <cell r="W307" t="str">
            <v>Не соответствует</v>
          </cell>
          <cell r="X307" t="str">
            <v>хорошее</v>
          </cell>
          <cell r="Y307">
            <v>0.15</v>
          </cell>
          <cell r="Z307">
            <v>39260350.670851618</v>
          </cell>
          <cell r="AA307">
            <v>333562.87740740541</v>
          </cell>
          <cell r="AB307">
            <v>14.177637907832395</v>
          </cell>
          <cell r="AC307" t="str">
            <v>Не соответствует</v>
          </cell>
          <cell r="AD307">
            <v>1799111</v>
          </cell>
          <cell r="AE307">
            <v>15285.564995751911</v>
          </cell>
          <cell r="AF307">
            <v>0.64969221818326051</v>
          </cell>
          <cell r="AG307">
            <v>117.7</v>
          </cell>
          <cell r="AH307">
            <v>0</v>
          </cell>
          <cell r="AI307" t="str">
            <v>возможно с оборудованием?</v>
          </cell>
          <cell r="AL307">
            <v>1799111</v>
          </cell>
          <cell r="AM307" t="str">
            <v>Ко-Инвест</v>
          </cell>
        </row>
        <row r="308">
          <cell r="A308">
            <v>94</v>
          </cell>
          <cell r="B308" t="str">
            <v>Р00008628</v>
          </cell>
          <cell r="C308" t="str">
            <v>Нежилое здание об.S-1448,5 кв.м. Коровник №3 с переход. галер. МТФ№3 Литер Ш1 Кад№ 23:11:0702000:824</v>
          </cell>
          <cell r="D308">
            <v>40816</v>
          </cell>
          <cell r="E308">
            <v>40816</v>
          </cell>
          <cell r="F308">
            <v>7941268.0499999998</v>
          </cell>
          <cell r="G308">
            <v>1.4002276176024278</v>
          </cell>
          <cell r="H308">
            <v>11119582.842393776</v>
          </cell>
          <cell r="I308">
            <v>4.2547945205479456</v>
          </cell>
          <cell r="J308" t="str">
            <v>поликарбонат</v>
          </cell>
          <cell r="K308" t="str">
            <v>КС-6</v>
          </cell>
          <cell r="L308">
            <v>35</v>
          </cell>
          <cell r="M308">
            <v>0.12156555772994131</v>
          </cell>
          <cell r="N308">
            <v>0</v>
          </cell>
          <cell r="O308">
            <v>0</v>
          </cell>
          <cell r="P308">
            <v>0.12156555772994126</v>
          </cell>
          <cell r="Q308">
            <v>7099262.6399999997</v>
          </cell>
          <cell r="R308">
            <v>4901.1133172247146</v>
          </cell>
          <cell r="S308" t="str">
            <v>Соответствует</v>
          </cell>
          <cell r="T308">
            <v>9767825</v>
          </cell>
          <cell r="U308">
            <v>6743.4069727304104</v>
          </cell>
          <cell r="V308">
            <v>1.375892891321457</v>
          </cell>
          <cell r="W308" t="str">
            <v>Соответствует</v>
          </cell>
          <cell r="X308" t="str">
            <v>отличное</v>
          </cell>
          <cell r="Y308">
            <v>0.1</v>
          </cell>
          <cell r="Z308">
            <v>10007624.558154399</v>
          </cell>
          <cell r="AA308">
            <v>6908.9572372484627</v>
          </cell>
          <cell r="AB308">
            <v>1.4096709849509665</v>
          </cell>
          <cell r="AC308" t="str">
            <v>Соответствует</v>
          </cell>
          <cell r="AD308">
            <v>29086032</v>
          </cell>
          <cell r="AE308">
            <v>20080.104936140837</v>
          </cell>
          <cell r="AF308">
            <v>4.0970497183915988</v>
          </cell>
          <cell r="AG308">
            <v>1448.5</v>
          </cell>
          <cell r="AH308">
            <v>0</v>
          </cell>
          <cell r="AI308">
            <v>0</v>
          </cell>
          <cell r="AL308">
            <v>9767825</v>
          </cell>
          <cell r="AM308" t="str">
            <v>По сроку службы</v>
          </cell>
        </row>
        <row r="309">
          <cell r="A309">
            <v>95</v>
          </cell>
          <cell r="B309" t="str">
            <v>Р00009097</v>
          </cell>
          <cell r="C309" t="str">
            <v>Нежилое здание об.S-1448,5кв.м Телятник №7 МТФ№3 Литер Щ2   Кад.№ 23:11:0702000:820</v>
          </cell>
          <cell r="D309">
            <v>40908</v>
          </cell>
          <cell r="E309">
            <v>40908</v>
          </cell>
          <cell r="F309">
            <v>4951974.58</v>
          </cell>
          <cell r="G309">
            <v>1.4002276176024278</v>
          </cell>
          <cell r="H309">
            <v>6933891.5685811825</v>
          </cell>
          <cell r="I309">
            <v>4.0027397260273974</v>
          </cell>
          <cell r="J309" t="str">
            <v>поликарбонат</v>
          </cell>
          <cell r="K309" t="str">
            <v>КС-6</v>
          </cell>
          <cell r="L309">
            <v>35</v>
          </cell>
          <cell r="M309">
            <v>0.11436399217221135</v>
          </cell>
          <cell r="N309">
            <v>0</v>
          </cell>
          <cell r="O309">
            <v>0</v>
          </cell>
          <cell r="P309">
            <v>0.11436399217221138</v>
          </cell>
          <cell r="Q309">
            <v>4293540.34</v>
          </cell>
          <cell r="R309">
            <v>2964.128643424232</v>
          </cell>
          <cell r="S309" t="str">
            <v>Соответствует</v>
          </cell>
          <cell r="T309">
            <v>6140904</v>
          </cell>
          <cell r="U309">
            <v>4239.4918881601661</v>
          </cell>
          <cell r="V309">
            <v>1.4302658211428381</v>
          </cell>
          <cell r="W309" t="str">
            <v>Соответствует</v>
          </cell>
          <cell r="X309" t="str">
            <v>отличное</v>
          </cell>
          <cell r="Y309">
            <v>0.1</v>
          </cell>
          <cell r="Z309">
            <v>6240502.4117230643</v>
          </cell>
          <cell r="AA309">
            <v>4308.2515786835102</v>
          </cell>
          <cell r="AB309">
            <v>1.4534630904907404</v>
          </cell>
          <cell r="AC309" t="str">
            <v>Соответствует</v>
          </cell>
          <cell r="AD309">
            <v>18609311</v>
          </cell>
          <cell r="AE309">
            <v>12847.297894373491</v>
          </cell>
          <cell r="AF309">
            <v>4.3342578679486685</v>
          </cell>
          <cell r="AG309">
            <v>1448.5</v>
          </cell>
          <cell r="AH309">
            <v>0</v>
          </cell>
          <cell r="AI309">
            <v>0</v>
          </cell>
          <cell r="AL309">
            <v>6140904</v>
          </cell>
          <cell r="AM309" t="str">
            <v>По сроку службы</v>
          </cell>
        </row>
        <row r="310">
          <cell r="A310">
            <v>96</v>
          </cell>
          <cell r="B310" t="str">
            <v>Р00008627</v>
          </cell>
          <cell r="C310" t="str">
            <v>Нежилое здание об.S-1448,5кв.м. Коровник №4  МТФ№3 Литер Ш2 Кад.№. 23:11:0702000:823</v>
          </cell>
          <cell r="D310">
            <v>40816</v>
          </cell>
          <cell r="E310">
            <v>40816</v>
          </cell>
          <cell r="F310">
            <v>3970327</v>
          </cell>
          <cell r="G310">
            <v>1.4002276176024278</v>
          </cell>
          <cell r="H310">
            <v>5559361.5163125945</v>
          </cell>
          <cell r="I310">
            <v>4.2547945205479456</v>
          </cell>
          <cell r="J310" t="str">
            <v>поликарбонат</v>
          </cell>
          <cell r="K310" t="str">
            <v>КС-6</v>
          </cell>
          <cell r="L310">
            <v>35</v>
          </cell>
          <cell r="M310">
            <v>0.12156555772994131</v>
          </cell>
          <cell r="N310">
            <v>0</v>
          </cell>
          <cell r="O310">
            <v>0</v>
          </cell>
          <cell r="P310">
            <v>0.12156555772994126</v>
          </cell>
          <cell r="Q310">
            <v>3549356.68</v>
          </cell>
          <cell r="R310">
            <v>2450.3670555747326</v>
          </cell>
          <cell r="S310" t="str">
            <v>Соответствует</v>
          </cell>
          <cell r="T310">
            <v>4883535</v>
          </cell>
          <cell r="U310">
            <v>3371.442871936486</v>
          </cell>
          <cell r="V310">
            <v>1.3758929970374236</v>
          </cell>
          <cell r="W310" t="str">
            <v>Соответствует</v>
          </cell>
          <cell r="X310" t="str">
            <v>отличное</v>
          </cell>
          <cell r="Y310">
            <v>0.1</v>
          </cell>
          <cell r="Z310">
            <v>5003425.3646813352</v>
          </cell>
          <cell r="AA310">
            <v>3454.2115047851812</v>
          </cell>
          <cell r="AB310">
            <v>1.4096710519049145</v>
          </cell>
          <cell r="AC310" t="str">
            <v>Соответствует</v>
          </cell>
          <cell r="AD310">
            <v>29086032</v>
          </cell>
          <cell r="AE310">
            <v>20080.104936140837</v>
          </cell>
          <cell r="AF310">
            <v>8.1947334749124163</v>
          </cell>
          <cell r="AG310">
            <v>1448.5</v>
          </cell>
          <cell r="AH310">
            <v>0</v>
          </cell>
          <cell r="AI310">
            <v>0</v>
          </cell>
          <cell r="AL310">
            <v>4883535</v>
          </cell>
          <cell r="AM310" t="str">
            <v>По сроку службы</v>
          </cell>
        </row>
        <row r="311">
          <cell r="A311">
            <v>97</v>
          </cell>
          <cell r="B311" t="str">
            <v>Р00009095</v>
          </cell>
          <cell r="C311" t="str">
            <v>Нежилое здание об.S-1448,5кв.м. Телятник №5  МТФ№3 Литер Щ  Кад.№ 23:11:0702000:819</v>
          </cell>
          <cell r="D311">
            <v>40908</v>
          </cell>
          <cell r="E311">
            <v>40908</v>
          </cell>
          <cell r="F311">
            <v>4951977.58</v>
          </cell>
          <cell r="G311">
            <v>1.4002276176024278</v>
          </cell>
          <cell r="H311">
            <v>6933895.7692640359</v>
          </cell>
          <cell r="I311">
            <v>4.0027397260273974</v>
          </cell>
          <cell r="J311" t="str">
            <v>поликарбонат</v>
          </cell>
          <cell r="K311" t="str">
            <v>КС-6</v>
          </cell>
          <cell r="L311">
            <v>35</v>
          </cell>
          <cell r="M311">
            <v>0.11436399217221135</v>
          </cell>
          <cell r="N311">
            <v>0</v>
          </cell>
          <cell r="O311">
            <v>0</v>
          </cell>
          <cell r="P311">
            <v>0.11436399217221138</v>
          </cell>
          <cell r="Q311">
            <v>4293542.8600000003</v>
          </cell>
          <cell r="R311">
            <v>2964.1303831549881</v>
          </cell>
          <cell r="S311" t="str">
            <v>Соответствует</v>
          </cell>
          <cell r="T311">
            <v>6140908</v>
          </cell>
          <cell r="U311">
            <v>4239.494649637556</v>
          </cell>
          <cell r="V311">
            <v>1.430265913311507</v>
          </cell>
          <cell r="W311" t="str">
            <v>Соответствует</v>
          </cell>
          <cell r="X311" t="str">
            <v>отличное</v>
          </cell>
          <cell r="Y311">
            <v>0.1</v>
          </cell>
          <cell r="Z311">
            <v>6240506.1923376322</v>
          </cell>
          <cell r="AA311">
            <v>4308.2541887039224</v>
          </cell>
          <cell r="AB311">
            <v>1.4534631179476876</v>
          </cell>
          <cell r="AC311" t="str">
            <v>Соответствует</v>
          </cell>
          <cell r="AD311">
            <v>29324485</v>
          </cell>
          <cell r="AE311">
            <v>20244.725578184327</v>
          </cell>
          <cell r="AF311">
            <v>6.8299038710422932</v>
          </cell>
          <cell r="AG311">
            <v>1448.5</v>
          </cell>
          <cell r="AH311">
            <v>0</v>
          </cell>
          <cell r="AI311">
            <v>0</v>
          </cell>
          <cell r="AL311">
            <v>6140908</v>
          </cell>
          <cell r="AM311" t="str">
            <v>По сроку службы</v>
          </cell>
        </row>
        <row r="312">
          <cell r="A312">
            <v>98</v>
          </cell>
          <cell r="B312" t="str">
            <v>Р00009096</v>
          </cell>
          <cell r="C312" t="str">
            <v>Нежилое здание об.S-1448,5кв.м.Телятник №6 МТФ№3 Литер Щ1  Кад.№ 23:11:0702000:821</v>
          </cell>
          <cell r="D312">
            <v>40908</v>
          </cell>
          <cell r="E312">
            <v>40908</v>
          </cell>
          <cell r="F312">
            <v>4951983.04</v>
          </cell>
          <cell r="G312">
            <v>1.4002276176024278</v>
          </cell>
          <cell r="H312">
            <v>6933903.4145068275</v>
          </cell>
          <cell r="I312">
            <v>4.0027397260273974</v>
          </cell>
          <cell r="J312" t="str">
            <v>поликарбонат</v>
          </cell>
          <cell r="K312" t="str">
            <v>КС-6</v>
          </cell>
          <cell r="L312">
            <v>35</v>
          </cell>
          <cell r="M312">
            <v>0.11436399217221135</v>
          </cell>
          <cell r="N312">
            <v>0</v>
          </cell>
          <cell r="O312">
            <v>0</v>
          </cell>
          <cell r="P312">
            <v>0.11436399217221138</v>
          </cell>
          <cell r="Q312">
            <v>4293547.84</v>
          </cell>
          <cell r="R312">
            <v>2964.1338211943389</v>
          </cell>
          <cell r="S312" t="str">
            <v>Соответствует</v>
          </cell>
          <cell r="T312">
            <v>6140915</v>
          </cell>
          <cell r="U312">
            <v>4239.4994822229892</v>
          </cell>
          <cell r="V312">
            <v>1.4302658847280947</v>
          </cell>
          <cell r="W312" t="str">
            <v>Соответствует</v>
          </cell>
          <cell r="X312" t="str">
            <v>отличное</v>
          </cell>
          <cell r="Y312">
            <v>0.1</v>
          </cell>
          <cell r="Z312">
            <v>6240513.0730561446</v>
          </cell>
          <cell r="AA312">
            <v>4308.2589389410732</v>
          </cell>
          <cell r="AB312">
            <v>1.4534630346767359</v>
          </cell>
          <cell r="AC312" t="str">
            <v>Соответствует</v>
          </cell>
          <cell r="AD312">
            <v>29324485</v>
          </cell>
          <cell r="AE312">
            <v>20244.725578184327</v>
          </cell>
          <cell r="AF312">
            <v>6.8298959491738191</v>
          </cell>
          <cell r="AG312">
            <v>1448.5</v>
          </cell>
          <cell r="AH312">
            <v>0</v>
          </cell>
          <cell r="AI312">
            <v>0</v>
          </cell>
          <cell r="AL312">
            <v>6140915</v>
          </cell>
          <cell r="AM312" t="str">
            <v>По сроку службы</v>
          </cell>
        </row>
        <row r="313">
          <cell r="A313">
            <v>99</v>
          </cell>
          <cell r="B313" t="str">
            <v>Р00008626</v>
          </cell>
          <cell r="C313" t="str">
            <v>Нежилое здание об.S-1448.5 кв.м. Коровник №2  МТФ№3  Литер Ш  Кад.№ 23:11:0702000:813</v>
          </cell>
          <cell r="D313">
            <v>40816</v>
          </cell>
          <cell r="E313">
            <v>40816</v>
          </cell>
          <cell r="F313">
            <v>3970327</v>
          </cell>
          <cell r="G313">
            <v>1.4002276176024278</v>
          </cell>
          <cell r="H313">
            <v>5559361.5163125945</v>
          </cell>
          <cell r="I313">
            <v>4.2547945205479456</v>
          </cell>
          <cell r="J313" t="str">
            <v>поликарбонат</v>
          </cell>
          <cell r="K313" t="str">
            <v>КС-6</v>
          </cell>
          <cell r="L313">
            <v>35</v>
          </cell>
          <cell r="M313">
            <v>0.12156555772994131</v>
          </cell>
          <cell r="N313">
            <v>0</v>
          </cell>
          <cell r="O313">
            <v>0</v>
          </cell>
          <cell r="P313">
            <v>0.12156555772994126</v>
          </cell>
          <cell r="Q313">
            <v>3549356.68</v>
          </cell>
          <cell r="R313">
            <v>2450.3670555747326</v>
          </cell>
          <cell r="S313" t="str">
            <v>Соответствует</v>
          </cell>
          <cell r="T313">
            <v>4883535</v>
          </cell>
          <cell r="U313">
            <v>3371.442871936486</v>
          </cell>
          <cell r="V313">
            <v>1.3758929970374236</v>
          </cell>
          <cell r="W313" t="str">
            <v>Соответствует</v>
          </cell>
          <cell r="X313" t="str">
            <v>отличное</v>
          </cell>
          <cell r="Y313">
            <v>0.1</v>
          </cell>
          <cell r="Z313">
            <v>5003425.3646813352</v>
          </cell>
          <cell r="AA313">
            <v>3454.2115047851812</v>
          </cell>
          <cell r="AB313">
            <v>1.4096710519049145</v>
          </cell>
          <cell r="AC313" t="str">
            <v>Соответствует</v>
          </cell>
          <cell r="AD313">
            <v>29086032</v>
          </cell>
          <cell r="AE313">
            <v>20080.104936140837</v>
          </cell>
          <cell r="AF313">
            <v>8.1947334749124163</v>
          </cell>
          <cell r="AG313">
            <v>1448.5</v>
          </cell>
          <cell r="AH313">
            <v>0</v>
          </cell>
          <cell r="AI313">
            <v>0</v>
          </cell>
          <cell r="AL313">
            <v>4883535</v>
          </cell>
          <cell r="AM313" t="str">
            <v>По сроку службы</v>
          </cell>
        </row>
        <row r="314">
          <cell r="A314">
            <v>103</v>
          </cell>
          <cell r="B314" t="str">
            <v>Р00010144</v>
          </cell>
          <cell r="C314" t="str">
            <v>Нежилое здание об.S-38,2кв.м. (Насосная станция №2 (тер. пруд)   Кад№ 23:11:0702000:815</v>
          </cell>
          <cell r="D314">
            <v>41633</v>
          </cell>
          <cell r="E314">
            <v>41633</v>
          </cell>
          <cell r="F314">
            <v>3787531.29</v>
          </cell>
          <cell r="G314">
            <v>1.0161046111493461</v>
          </cell>
          <cell r="H314">
            <v>3848528.0086414316</v>
          </cell>
          <cell r="I314">
            <v>2.0164383561643837</v>
          </cell>
          <cell r="J314" t="str">
            <v>металлические конструкции с утеплением</v>
          </cell>
          <cell r="K314" t="str">
            <v>КС-6</v>
          </cell>
          <cell r="L314">
            <v>35</v>
          </cell>
          <cell r="M314">
            <v>5.7612524461839537E-2</v>
          </cell>
          <cell r="N314">
            <v>0</v>
          </cell>
          <cell r="O314">
            <v>0</v>
          </cell>
          <cell r="P314">
            <v>5.7612524461839509E-2</v>
          </cell>
          <cell r="Q314">
            <v>3100744.41</v>
          </cell>
          <cell r="R314">
            <v>81171.319633507854</v>
          </cell>
          <cell r="S314" t="str">
            <v>Не соответствует</v>
          </cell>
          <cell r="T314">
            <v>3626805</v>
          </cell>
          <cell r="U314">
            <v>94942.539267015702</v>
          </cell>
          <cell r="V314">
            <v>1.1696562245838249</v>
          </cell>
          <cell r="W314" t="str">
            <v>Не соответствует</v>
          </cell>
          <cell r="X314" t="str">
            <v>отличное</v>
          </cell>
          <cell r="Y314">
            <v>0.05</v>
          </cell>
          <cell r="Z314">
            <v>3656101.6082093599</v>
          </cell>
          <cell r="AA314">
            <v>95709.466183491095</v>
          </cell>
          <cell r="AB314">
            <v>1.1791044745314432</v>
          </cell>
          <cell r="AC314" t="str">
            <v>Не соответствует</v>
          </cell>
          <cell r="AD314">
            <v>525109</v>
          </cell>
          <cell r="AE314">
            <v>13746.30890052356</v>
          </cell>
          <cell r="AF314">
            <v>0.16934933376208197</v>
          </cell>
          <cell r="AG314">
            <v>38.200000000000003</v>
          </cell>
          <cell r="AH314">
            <v>0</v>
          </cell>
          <cell r="AI314" t="str">
            <v>возможно с оборудованием?</v>
          </cell>
          <cell r="AL314">
            <v>525109</v>
          </cell>
          <cell r="AM314" t="str">
            <v>Ко-Инвест</v>
          </cell>
        </row>
        <row r="315">
          <cell r="A315">
            <v>105</v>
          </cell>
          <cell r="B315" t="str">
            <v>Ц00004238</v>
          </cell>
          <cell r="C315" t="str">
            <v>Нежилое здание об.пл. 1002,2 кв.м. (Телятник №9  МТФ№3) Кад № 23:11:0702000:889</v>
          </cell>
          <cell r="D315">
            <v>42115</v>
          </cell>
          <cell r="E315">
            <v>42115</v>
          </cell>
          <cell r="F315">
            <v>6486626.1200000001</v>
          </cell>
          <cell r="G315">
            <v>1.0055850701539299</v>
          </cell>
          <cell r="H315">
            <v>6522854.3819425143</v>
          </cell>
          <cell r="I315">
            <v>0.69589041095890414</v>
          </cell>
          <cell r="J315" t="str">
            <v>поликарбонат</v>
          </cell>
          <cell r="K315" t="str">
            <v>КС-6</v>
          </cell>
          <cell r="L315">
            <v>35</v>
          </cell>
          <cell r="M315">
            <v>1.9882583170254403E-2</v>
          </cell>
          <cell r="N315">
            <v>0</v>
          </cell>
          <cell r="O315">
            <v>0</v>
          </cell>
          <cell r="P315">
            <v>1.9882583170254375E-2</v>
          </cell>
          <cell r="Q315">
            <v>6342878.2000000002</v>
          </cell>
          <cell r="R315">
            <v>6328.9545000997805</v>
          </cell>
          <cell r="S315" t="str">
            <v>Соответствует</v>
          </cell>
          <cell r="T315">
            <v>6393163</v>
          </cell>
          <cell r="U315">
            <v>6379.1289163839547</v>
          </cell>
          <cell r="V315">
            <v>1.0079277574650574</v>
          </cell>
          <cell r="W315" t="str">
            <v>Соответствует</v>
          </cell>
          <cell r="X315" t="str">
            <v>отличное</v>
          </cell>
          <cell r="Y315">
            <v>0.05</v>
          </cell>
          <cell r="Z315">
            <v>6196711.6628453881</v>
          </cell>
          <cell r="AA315">
            <v>6183.1088234338331</v>
          </cell>
          <cell r="AB315">
            <v>0.976955802626856</v>
          </cell>
          <cell r="AC315" t="str">
            <v>Соответствует</v>
          </cell>
          <cell r="AD315">
            <v>14628675</v>
          </cell>
          <cell r="AE315">
            <v>14596.562562362802</v>
          </cell>
          <cell r="AF315">
            <v>2.3063149785849584</v>
          </cell>
          <cell r="AG315">
            <v>1002.2</v>
          </cell>
          <cell r="AH315">
            <v>0</v>
          </cell>
          <cell r="AI315">
            <v>0</v>
          </cell>
          <cell r="AL315">
            <v>6393163</v>
          </cell>
          <cell r="AM315" t="str">
            <v>По сроку службы</v>
          </cell>
        </row>
        <row r="316">
          <cell r="A316">
            <v>106</v>
          </cell>
          <cell r="B316" t="str">
            <v>Ц00004237</v>
          </cell>
          <cell r="C316" t="str">
            <v>Нежилое здание об.пл. 1004,1 кв.м. (Телятник №10  МТФ№3) Кад № 23:11:0702000:890</v>
          </cell>
          <cell r="D316">
            <v>42115</v>
          </cell>
          <cell r="E316">
            <v>42115</v>
          </cell>
          <cell r="F316">
            <v>6498923</v>
          </cell>
          <cell r="G316">
            <v>1.0055850701539299</v>
          </cell>
          <cell r="H316">
            <v>6535219.9408799885</v>
          </cell>
          <cell r="I316">
            <v>0.69589041095890414</v>
          </cell>
          <cell r="J316" t="str">
            <v>поликарбонат</v>
          </cell>
          <cell r="K316" t="str">
            <v>КС-6</v>
          </cell>
          <cell r="L316">
            <v>35</v>
          </cell>
          <cell r="M316">
            <v>1.9882583170254403E-2</v>
          </cell>
          <cell r="N316">
            <v>0</v>
          </cell>
          <cell r="O316">
            <v>0</v>
          </cell>
          <cell r="P316">
            <v>1.9882583170254375E-2</v>
          </cell>
          <cell r="Q316">
            <v>6354902.5199999996</v>
          </cell>
          <cell r="R316">
            <v>6328.9538093815354</v>
          </cell>
          <cell r="S316" t="str">
            <v>Соответствует</v>
          </cell>
          <cell r="T316">
            <v>6405283</v>
          </cell>
          <cell r="U316">
            <v>6379.1285728513094</v>
          </cell>
          <cell r="V316">
            <v>1.0079278131869756</v>
          </cell>
          <cell r="W316" t="str">
            <v>Соответствует</v>
          </cell>
          <cell r="X316" t="str">
            <v>отличное</v>
          </cell>
          <cell r="Y316">
            <v>0.05</v>
          </cell>
          <cell r="Z316">
            <v>6208458.9438359886</v>
          </cell>
          <cell r="AA316">
            <v>6183.108200215107</v>
          </cell>
          <cell r="AB316">
            <v>0.97695581077709259</v>
          </cell>
          <cell r="AC316" t="str">
            <v>Соответствует</v>
          </cell>
          <cell r="AD316">
            <v>14648979</v>
          </cell>
          <cell r="AE316">
            <v>14589.163429937256</v>
          </cell>
          <cell r="AF316">
            <v>2.3051461377884364</v>
          </cell>
          <cell r="AG316">
            <v>1004.1</v>
          </cell>
          <cell r="AH316">
            <v>0</v>
          </cell>
          <cell r="AI316">
            <v>0</v>
          </cell>
          <cell r="AL316">
            <v>6405283</v>
          </cell>
          <cell r="AM316" t="str">
            <v>По сроку службы</v>
          </cell>
        </row>
        <row r="317">
          <cell r="A317">
            <v>109</v>
          </cell>
          <cell r="B317" t="str">
            <v>Ц00004236</v>
          </cell>
          <cell r="C317" t="str">
            <v>Нежилое здание об.пл. 1115,4 кв.м. (Телятник №11  МТФ№3) Кад № 23:11:0702000:887</v>
          </cell>
          <cell r="D317">
            <v>42115</v>
          </cell>
          <cell r="E317">
            <v>42115</v>
          </cell>
          <cell r="F317">
            <v>7219300</v>
          </cell>
          <cell r="G317">
            <v>1.0055850701539299</v>
          </cell>
          <cell r="H317">
            <v>7259620.2969622668</v>
          </cell>
          <cell r="I317">
            <v>0.69589041095890414</v>
          </cell>
          <cell r="J317" t="str">
            <v>поликарбонат</v>
          </cell>
          <cell r="K317" t="str">
            <v>КС-6</v>
          </cell>
          <cell r="L317">
            <v>35</v>
          </cell>
          <cell r="M317">
            <v>1.9882583170254403E-2</v>
          </cell>
          <cell r="N317">
            <v>0</v>
          </cell>
          <cell r="O317">
            <v>0</v>
          </cell>
          <cell r="P317">
            <v>1.9882583170254375E-2</v>
          </cell>
          <cell r="Q317">
            <v>7059315.5199999996</v>
          </cell>
          <cell r="R317">
            <v>6328.9542047695886</v>
          </cell>
          <cell r="S317" t="str">
            <v>Соответствует</v>
          </cell>
          <cell r="T317">
            <v>7115280</v>
          </cell>
          <cell r="U317">
            <v>6379.1285637439478</v>
          </cell>
          <cell r="V317">
            <v>1.0079277487798137</v>
          </cell>
          <cell r="W317" t="str">
            <v>Соответствует</v>
          </cell>
          <cell r="X317" t="str">
            <v>отличное</v>
          </cell>
          <cell r="Y317">
            <v>0.05</v>
          </cell>
          <cell r="Z317">
            <v>6896639.2821141528</v>
          </cell>
          <cell r="AA317">
            <v>6183.1085548808969</v>
          </cell>
          <cell r="AB317">
            <v>0.97695580578244978</v>
          </cell>
          <cell r="AC317" t="str">
            <v>Соответствует</v>
          </cell>
          <cell r="AD317">
            <v>16254903</v>
          </cell>
          <cell r="AE317">
            <v>14573.160301237223</v>
          </cell>
          <cell r="AF317">
            <v>2.3026174356348932</v>
          </cell>
          <cell r="AG317">
            <v>1115.4000000000001</v>
          </cell>
          <cell r="AH317">
            <v>0</v>
          </cell>
          <cell r="AI317">
            <v>0</v>
          </cell>
          <cell r="AL317">
            <v>7115280</v>
          </cell>
          <cell r="AM317" t="str">
            <v>По сроку службы</v>
          </cell>
        </row>
        <row r="318">
          <cell r="A318">
            <v>110</v>
          </cell>
          <cell r="B318" t="str">
            <v>Ц00002376</v>
          </cell>
          <cell r="C318" t="str">
            <v>Нежилое здание Об.пл. 1222,6кв.м. (Силосохранилище №1) Кад№ 23:24:0701000:798 Лит Т(НП  МТФ№2)</v>
          </cell>
          <cell r="D318">
            <v>41935</v>
          </cell>
          <cell r="E318">
            <v>41935</v>
          </cell>
          <cell r="F318">
            <v>5167158.7</v>
          </cell>
          <cell r="G318">
            <v>0.98663458968190321</v>
          </cell>
          <cell r="H318">
            <v>5098097.5037957765</v>
          </cell>
          <cell r="I318">
            <v>1.189041095890411</v>
          </cell>
          <cell r="J318" t="str">
            <v>бетонное</v>
          </cell>
          <cell r="K318" t="str">
            <v>КС-10</v>
          </cell>
          <cell r="L318">
            <v>45</v>
          </cell>
          <cell r="M318">
            <v>2.6423135464231355E-2</v>
          </cell>
          <cell r="N318">
            <v>0</v>
          </cell>
          <cell r="O318">
            <v>0</v>
          </cell>
          <cell r="P318">
            <v>2.6423135464231362E-2</v>
          </cell>
          <cell r="Q318">
            <v>4767488.9400000004</v>
          </cell>
          <cell r="R318">
            <v>3899.467479142811</v>
          </cell>
          <cell r="S318" t="str">
            <v>Соответствует</v>
          </cell>
          <cell r="T318">
            <v>4963390</v>
          </cell>
          <cell r="U318">
            <v>4059.7006379846234</v>
          </cell>
          <cell r="V318">
            <v>1.0410910360706573</v>
          </cell>
          <cell r="W318" t="str">
            <v>Соответствует</v>
          </cell>
          <cell r="X318">
            <v>0</v>
          </cell>
          <cell r="Y318">
            <v>0</v>
          </cell>
          <cell r="Z318" t="str">
            <v/>
          </cell>
          <cell r="AA318" t="str">
            <v/>
          </cell>
          <cell r="AB318" t="e">
            <v>#VALUE!</v>
          </cell>
          <cell r="AC318" t="str">
            <v>Не рассчитывалась</v>
          </cell>
          <cell r="AD318">
            <v>39506117</v>
          </cell>
          <cell r="AE318">
            <v>32313.198920333718</v>
          </cell>
          <cell r="AF318">
            <v>8.2865671000382015</v>
          </cell>
          <cell r="AG318">
            <v>1222.5999999999999</v>
          </cell>
          <cell r="AH318">
            <v>0</v>
          </cell>
          <cell r="AI318">
            <v>0</v>
          </cell>
          <cell r="AJ318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318">
            <v>4963390</v>
          </cell>
          <cell r="AM318" t="str">
            <v>По сроку службы</v>
          </cell>
        </row>
        <row r="319">
          <cell r="A319">
            <v>111</v>
          </cell>
          <cell r="B319" t="str">
            <v>Ц00004235</v>
          </cell>
          <cell r="C319" t="str">
            <v xml:space="preserve">Нежилое здание об.пл. 1254,3 кв.м. (Телятник №8  МТФ№3) Кад № 23:11:0702000:891 </v>
          </cell>
          <cell r="D319">
            <v>42115</v>
          </cell>
          <cell r="E319">
            <v>42115</v>
          </cell>
          <cell r="F319">
            <v>8118315</v>
          </cell>
          <cell r="G319">
            <v>1.0055850701539299</v>
          </cell>
          <cell r="H319">
            <v>8163656.3588067014</v>
          </cell>
          <cell r="I319">
            <v>0.69589041095890414</v>
          </cell>
          <cell r="J319" t="str">
            <v>поликарбонат</v>
          </cell>
          <cell r="K319" t="str">
            <v>КС-6</v>
          </cell>
          <cell r="L319">
            <v>35</v>
          </cell>
          <cell r="M319">
            <v>1.9882583170254403E-2</v>
          </cell>
          <cell r="N319">
            <v>0</v>
          </cell>
          <cell r="O319">
            <v>0</v>
          </cell>
          <cell r="P319">
            <v>1.9882583170254375E-2</v>
          </cell>
          <cell r="Q319">
            <v>7938407.7199999997</v>
          </cell>
          <cell r="R319">
            <v>6328.9545722713865</v>
          </cell>
          <cell r="S319" t="str">
            <v>Соответствует</v>
          </cell>
          <cell r="T319">
            <v>8001342</v>
          </cell>
          <cell r="U319">
            <v>6379.1293948816074</v>
          </cell>
          <cell r="V319">
            <v>1.0079278215757859</v>
          </cell>
          <cell r="W319" t="str">
            <v>Соответствует</v>
          </cell>
          <cell r="X319" t="str">
            <v>отличное</v>
          </cell>
          <cell r="Y319">
            <v>0.05</v>
          </cell>
          <cell r="Z319">
            <v>7755473.5408663657</v>
          </cell>
          <cell r="AA319">
            <v>6183.1089379465566</v>
          </cell>
          <cell r="AB319">
            <v>0.97695580957970318</v>
          </cell>
          <cell r="AC319" t="str">
            <v>Соответствует</v>
          </cell>
          <cell r="AD319">
            <v>18285382</v>
          </cell>
          <cell r="AE319">
            <v>14578.156740811608</v>
          </cell>
          <cell r="AF319">
            <v>2.3034067592587699</v>
          </cell>
          <cell r="AG319">
            <v>1254.3</v>
          </cell>
          <cell r="AH319">
            <v>0</v>
          </cell>
          <cell r="AI319">
            <v>0</v>
          </cell>
          <cell r="AJ319" t="str">
            <v>Чем обусловлена разница в балансовой стоимости в 2-3 раза между объектами Ц00004235, Ц00002351, Ц00002355 и объектами Ц00002317, Ц00002320, Ц00002327, Ц00002335, Ц00002340 и Ц00002346. Все объекты имеют сопоставимую площадь, конструктив и физическое состояние. При этом, стоимость каждого и первой группы объектов составляет более 8 млн. руб., стоимость каждого из второй группы объектов составляет менее 3,5 млн. руб.</v>
          </cell>
          <cell r="AK319">
            <v>1</v>
          </cell>
          <cell r="AL319">
            <v>8001342</v>
          </cell>
          <cell r="AM319" t="str">
            <v>По сроку службы</v>
          </cell>
        </row>
        <row r="320">
          <cell r="A320">
            <v>112</v>
          </cell>
          <cell r="B320" t="str">
            <v>Ц00002351</v>
          </cell>
          <cell r="C320" t="str">
            <v>Нежилое здание Об.пл. 1369,9кв.м. (Коровник№7) Кад№ 23:24:0701000:825 Литер Ч (НП  МТФ№2)</v>
          </cell>
          <cell r="D320">
            <v>41935</v>
          </cell>
          <cell r="E320">
            <v>41935</v>
          </cell>
          <cell r="F320">
            <v>8763840.3399999999</v>
          </cell>
          <cell r="G320">
            <v>0.98663458968190321</v>
          </cell>
          <cell r="H320">
            <v>8646708.0178936105</v>
          </cell>
          <cell r="I320">
            <v>1.189041095890411</v>
          </cell>
          <cell r="J320" t="str">
            <v>металлопрофиль, кирпич</v>
          </cell>
          <cell r="K320" t="str">
            <v>КС-1</v>
          </cell>
          <cell r="L320">
            <v>60</v>
          </cell>
          <cell r="M320">
            <v>1.9817351598173515E-2</v>
          </cell>
          <cell r="N320">
            <v>0</v>
          </cell>
          <cell r="O320">
            <v>0</v>
          </cell>
          <cell r="P320">
            <v>1.9817351598173549E-2</v>
          </cell>
          <cell r="Q320">
            <v>8085974.2000000002</v>
          </cell>
          <cell r="R320">
            <v>5902.6017957515141</v>
          </cell>
          <cell r="S320" t="str">
            <v>Соответствует</v>
          </cell>
          <cell r="T320">
            <v>8475353</v>
          </cell>
          <cell r="U320">
            <v>6186.8406453025764</v>
          </cell>
          <cell r="V320">
            <v>1.0481548407611787</v>
          </cell>
          <cell r="W320" t="str">
            <v>Соответствует</v>
          </cell>
          <cell r="X320" t="str">
            <v>отличное</v>
          </cell>
          <cell r="Y320">
            <v>0.1</v>
          </cell>
          <cell r="Z320">
            <v>7782037.2161042495</v>
          </cell>
          <cell r="AA320">
            <v>5680.7337879438273</v>
          </cell>
          <cell r="AB320">
            <v>0.96241182863336983</v>
          </cell>
          <cell r="AC320" t="str">
            <v>Соответствует</v>
          </cell>
          <cell r="AD320">
            <v>21022621</v>
          </cell>
          <cell r="AE320">
            <v>15346.098985327395</v>
          </cell>
          <cell r="AF320">
            <v>2.5998872219997931</v>
          </cell>
          <cell r="AG320">
            <v>1369.9</v>
          </cell>
          <cell r="AH320">
            <v>0</v>
          </cell>
          <cell r="AI320">
            <v>0</v>
          </cell>
          <cell r="AJ320" t="str">
            <v>Чем обусловлена разница в балансовой стоимости в 2-3 раза между объектами Ц00004235, Ц00002351, Ц00002355 и объектами Ц00002317, Ц00002320, Ц00002327, Ц00002335, Ц00002340 и Ц00002346. Все объекты имеют сопоставимую площадь, конструктив и физическое состояние. При этом, стоимость каждого и первой группы объектов составляет более 8 млн. руб., стоимость каждого из второй группы объектов составляет менее 3,5 млн. руб.</v>
          </cell>
          <cell r="AK320">
            <v>1</v>
          </cell>
          <cell r="AL320">
            <v>7782037.2161042495</v>
          </cell>
          <cell r="AM320" t="str">
            <v>Экспертно</v>
          </cell>
        </row>
        <row r="321">
          <cell r="A321">
            <v>113</v>
          </cell>
          <cell r="B321" t="str">
            <v>Ц00002355</v>
          </cell>
          <cell r="C321" t="str">
            <v>Нежилое здание Об.пл. 1374,9кв.м. (Коровник№8) Кад№ 23:24:0701000:824 Литер Ш (НП  МТФ№2)</v>
          </cell>
          <cell r="D321">
            <v>41935</v>
          </cell>
          <cell r="E321">
            <v>41935</v>
          </cell>
          <cell r="F321">
            <v>8443719.0700000003</v>
          </cell>
          <cell r="G321">
            <v>0.98663458968190321</v>
          </cell>
          <cell r="H321">
            <v>8330865.3000187119</v>
          </cell>
          <cell r="I321">
            <v>1.189041095890411</v>
          </cell>
          <cell r="J321" t="str">
            <v>металлопрофиль</v>
          </cell>
          <cell r="K321" t="str">
            <v>КС-5</v>
          </cell>
          <cell r="L321">
            <v>40</v>
          </cell>
          <cell r="M321">
            <v>2.9726027397260275E-2</v>
          </cell>
          <cell r="N321">
            <v>0</v>
          </cell>
          <cell r="O321">
            <v>0</v>
          </cell>
          <cell r="P321">
            <v>2.9726027397260268E-2</v>
          </cell>
          <cell r="Q321">
            <v>7790613.75</v>
          </cell>
          <cell r="R321">
            <v>5666.3130045821508</v>
          </cell>
          <cell r="S321" t="str">
            <v>Соответствует</v>
          </cell>
          <cell r="T321">
            <v>8083222</v>
          </cell>
          <cell r="U321">
            <v>5879.1344825078186</v>
          </cell>
          <cell r="V321">
            <v>1.0375590754964588</v>
          </cell>
          <cell r="W321" t="str">
            <v>Соответствует</v>
          </cell>
          <cell r="X321" t="str">
            <v>отличное</v>
          </cell>
          <cell r="Y321">
            <v>0.1</v>
          </cell>
          <cell r="Z321">
            <v>7497778.7700168407</v>
          </cell>
          <cell r="AA321">
            <v>5453.3266201300748</v>
          </cell>
          <cell r="AB321">
            <v>0.962411821535478</v>
          </cell>
          <cell r="AC321" t="str">
            <v>Соответствует</v>
          </cell>
          <cell r="AD321">
            <v>27218786</v>
          </cell>
          <cell r="AE321">
            <v>19796.920503309331</v>
          </cell>
          <cell r="AF321">
            <v>3.4937922573815188</v>
          </cell>
          <cell r="AG321">
            <v>1374.9</v>
          </cell>
          <cell r="AH321">
            <v>0</v>
          </cell>
          <cell r="AI321">
            <v>0</v>
          </cell>
          <cell r="AJ321" t="str">
            <v>Чем обусловлена разница в балансовой стоимости в 2-3 раза между объектами Ц00004235, Ц00002351, Ц00002355 и объектами Ц00002317, Ц00002320, Ц00002327, Ц00002335, Ц00002340 и Ц00002346. Все объекты имеют сопоставимую площадь, конструктив и физическое состояние. При этом, стоимость каждого и первой группы объектов составляет более 8 млн. руб., стоимость каждого из второй группы объектов составляет менее 3,5 млн. руб.</v>
          </cell>
          <cell r="AK321">
            <v>1</v>
          </cell>
          <cell r="AL321">
            <v>8083222</v>
          </cell>
          <cell r="AM321" t="str">
            <v>По сроку службы</v>
          </cell>
        </row>
        <row r="322">
          <cell r="A322">
            <v>114</v>
          </cell>
          <cell r="B322" t="str">
            <v>Ц00002317</v>
          </cell>
          <cell r="C322" t="str">
            <v>Нежилое здание Об.пл. 1475,3кв.м. (Коровник№1) Кад№ 23:24:0701000:789 Литер К (НП  МТФ№2)</v>
          </cell>
          <cell r="D322">
            <v>41935</v>
          </cell>
          <cell r="E322">
            <v>41935</v>
          </cell>
          <cell r="F322">
            <v>3344805.08</v>
          </cell>
          <cell r="G322">
            <v>0.98663458968190321</v>
          </cell>
          <cell r="H322">
            <v>3300100.3876717454</v>
          </cell>
          <cell r="I322">
            <v>1.189041095890411</v>
          </cell>
          <cell r="J322" t="str">
            <v>металлопрофиль</v>
          </cell>
          <cell r="K322" t="str">
            <v>КС-5</v>
          </cell>
          <cell r="L322">
            <v>40</v>
          </cell>
          <cell r="M322">
            <v>2.9726027397260275E-2</v>
          </cell>
          <cell r="N322">
            <v>0</v>
          </cell>
          <cell r="O322">
            <v>0</v>
          </cell>
          <cell r="P322">
            <v>2.9726027397260268E-2</v>
          </cell>
          <cell r="Q322">
            <v>3086090.8200000003</v>
          </cell>
          <cell r="R322">
            <v>2091.8395038297299</v>
          </cell>
          <cell r="S322" t="str">
            <v>Соответствует</v>
          </cell>
          <cell r="T322">
            <v>3202002</v>
          </cell>
          <cell r="U322">
            <v>2170.4073747712332</v>
          </cell>
          <cell r="V322">
            <v>1.0375592251688821</v>
          </cell>
          <cell r="W322" t="str">
            <v>Соответствует</v>
          </cell>
          <cell r="X322" t="str">
            <v>отличное</v>
          </cell>
          <cell r="Y322">
            <v>0.1</v>
          </cell>
          <cell r="Z322">
            <v>2970090.348904571</v>
          </cell>
          <cell r="AA322">
            <v>2013.2111088623135</v>
          </cell>
          <cell r="AB322">
            <v>0.96241184143264158</v>
          </cell>
          <cell r="AC322" t="str">
            <v>Соответствует</v>
          </cell>
          <cell r="AD322">
            <v>36964566</v>
          </cell>
          <cell r="AE322">
            <v>25055.626652206331</v>
          </cell>
          <cell r="AF322">
            <v>11.977795909454148</v>
          </cell>
          <cell r="AG322">
            <v>1475.3</v>
          </cell>
          <cell r="AH322">
            <v>0</v>
          </cell>
          <cell r="AI322">
            <v>0</v>
          </cell>
          <cell r="AJ322" t="str">
            <v>Чем обусловлена разница в балансовой стоимости в 2-3 раза между объектами Ц00004235, Ц00002351, Ц00002355 и объектами Ц00002317, Ц00002320, Ц00002327, Ц00002335, Ц00002340 и Ц00002346. Все объекты имеют сопоставимую площадь, конструктив и физическое состояние. При этом, стоимость каждого и первой группы объектов составляет более 8 млн. руб., стоимость каждого из второй группы объектов составляет менее 3,5 млн. руб.</v>
          </cell>
          <cell r="AK322">
            <v>1</v>
          </cell>
          <cell r="AL322">
            <v>3202002</v>
          </cell>
          <cell r="AM322" t="str">
            <v>По сроку службы</v>
          </cell>
        </row>
        <row r="323">
          <cell r="A323">
            <v>115</v>
          </cell>
          <cell r="B323" t="str">
            <v>Ц00002320</v>
          </cell>
          <cell r="C323" t="str">
            <v>Нежилое здание Об.пл. 1475,3кв.м. (Коровник№2) Кад№ 23:24:0701000:790 Литер Л  (НП  МТФ№2)</v>
          </cell>
          <cell r="D323">
            <v>41935</v>
          </cell>
          <cell r="E323">
            <v>41935</v>
          </cell>
          <cell r="F323">
            <v>3211204.58</v>
          </cell>
          <cell r="G323">
            <v>0.98663458968190321</v>
          </cell>
          <cell r="H323">
            <v>3168285.5131729483</v>
          </cell>
          <cell r="I323">
            <v>1.189041095890411</v>
          </cell>
          <cell r="J323" t="str">
            <v>металлопрофиль</v>
          </cell>
          <cell r="K323" t="str">
            <v>КС-5</v>
          </cell>
          <cell r="L323">
            <v>40</v>
          </cell>
          <cell r="M323">
            <v>2.9726027397260275E-2</v>
          </cell>
          <cell r="N323">
            <v>0</v>
          </cell>
          <cell r="O323">
            <v>0</v>
          </cell>
          <cell r="P323">
            <v>2.9726027397260268E-2</v>
          </cell>
          <cell r="Q323">
            <v>2962824.14</v>
          </cell>
          <cell r="R323">
            <v>2008.285867281231</v>
          </cell>
          <cell r="S323" t="str">
            <v>Соответствует</v>
          </cell>
          <cell r="T323">
            <v>3074105</v>
          </cell>
          <cell r="U323">
            <v>2083.715176574256</v>
          </cell>
          <cell r="V323">
            <v>1.0375590499947795</v>
          </cell>
          <cell r="W323" t="str">
            <v>Соответствует</v>
          </cell>
          <cell r="X323" t="str">
            <v>отличное</v>
          </cell>
          <cell r="Y323">
            <v>0.1</v>
          </cell>
          <cell r="Z323">
            <v>2851456.9618556537</v>
          </cell>
          <cell r="AA323">
            <v>1932.7980491124881</v>
          </cell>
          <cell r="AB323">
            <v>0.96241181626650762</v>
          </cell>
          <cell r="AC323" t="str">
            <v>Соответствует</v>
          </cell>
          <cell r="AD323">
            <v>36964566</v>
          </cell>
          <cell r="AE323">
            <v>25055.626652206331</v>
          </cell>
          <cell r="AF323">
            <v>12.476125565792103</v>
          </cell>
          <cell r="AG323">
            <v>1475.3</v>
          </cell>
          <cell r="AH323">
            <v>0</v>
          </cell>
          <cell r="AI323">
            <v>0</v>
          </cell>
          <cell r="AJ323" t="str">
            <v>Чем обусловлена разница в балансовой стоимости в 2-3 раза между объектами Ц00004235, Ц00002351, Ц00002355 и объектами Ц00002317, Ц00002320, Ц00002327, Ц00002335, Ц00002340 и Ц00002346. Все объекты имеют сопоставимую площадь, конструктив и физическое состояние. При этом, стоимость каждого и первой группы объектов составляет более 8 млн. руб., стоимость каждого из второй группы объектов составляет менее 3,5 млн. руб.</v>
          </cell>
          <cell r="AK323">
            <v>1</v>
          </cell>
          <cell r="AL323">
            <v>3074105</v>
          </cell>
          <cell r="AM323" t="str">
            <v>По сроку службы</v>
          </cell>
        </row>
        <row r="324">
          <cell r="A324">
            <v>116</v>
          </cell>
          <cell r="B324" t="str">
            <v>Ц00002327</v>
          </cell>
          <cell r="C324" t="str">
            <v>Нежилое здание Об.пл. 1475,3кв.м. (Коровник№3) Кад№ 23:24:0701000:782 Литер М (НП  МТФ№2)</v>
          </cell>
          <cell r="D324">
            <v>41935</v>
          </cell>
          <cell r="E324">
            <v>41935</v>
          </cell>
          <cell r="F324">
            <v>3391492.26</v>
          </cell>
          <cell r="G324">
            <v>0.98663458968190321</v>
          </cell>
          <cell r="H324">
            <v>3346163.5743544502</v>
          </cell>
          <cell r="I324">
            <v>1.189041095890411</v>
          </cell>
          <cell r="J324" t="str">
            <v>металлопрофиль</v>
          </cell>
          <cell r="K324" t="str">
            <v>КС-5</v>
          </cell>
          <cell r="L324">
            <v>40</v>
          </cell>
          <cell r="M324">
            <v>2.9726027397260275E-2</v>
          </cell>
          <cell r="N324">
            <v>0</v>
          </cell>
          <cell r="O324">
            <v>0</v>
          </cell>
          <cell r="P324">
            <v>2.9726027397260268E-2</v>
          </cell>
          <cell r="Q324">
            <v>3129166.84</v>
          </cell>
          <cell r="R324">
            <v>2121.0376465803565</v>
          </cell>
          <cell r="S324" t="str">
            <v>Соответствует</v>
          </cell>
          <cell r="T324">
            <v>3246695</v>
          </cell>
          <cell r="U324">
            <v>2200.7015522266656</v>
          </cell>
          <cell r="V324">
            <v>1.0375589305426745</v>
          </cell>
          <cell r="W324" t="str">
            <v>Соответствует</v>
          </cell>
          <cell r="X324" t="str">
            <v>отличное</v>
          </cell>
          <cell r="Y324">
            <v>0.1</v>
          </cell>
          <cell r="Z324">
            <v>3011547.2169190054</v>
          </cell>
          <cell r="AA324">
            <v>2041.311744674985</v>
          </cell>
          <cell r="AB324">
            <v>0.96241184024531123</v>
          </cell>
          <cell r="AC324" t="str">
            <v>Соответствует</v>
          </cell>
          <cell r="AD324">
            <v>36964566</v>
          </cell>
          <cell r="AE324">
            <v>25055.626652206331</v>
          </cell>
          <cell r="AF324">
            <v>11.812909918219638</v>
          </cell>
          <cell r="AG324">
            <v>1475.3</v>
          </cell>
          <cell r="AH324">
            <v>0</v>
          </cell>
          <cell r="AI324">
            <v>0</v>
          </cell>
          <cell r="AJ324" t="str">
            <v>Чем обусловлена разница в балансовой стоимости в 2-3 раза между объектами Ц00004235, Ц00002351, Ц00002355 и объектами Ц00002317, Ц00002320, Ц00002327, Ц00002335, Ц00002340 и Ц00002346. Все объекты имеют сопоставимую площадь, конструктив и физическое состояние. При этом, стоимость каждого и первой группы объектов составляет более 8 млн. руб., стоимость каждого из второй группы объектов составляет менее 3,5 млн. руб.</v>
          </cell>
          <cell r="AK324">
            <v>1</v>
          </cell>
          <cell r="AL324">
            <v>3246695</v>
          </cell>
          <cell r="AM324" t="str">
            <v>По сроку службы</v>
          </cell>
        </row>
        <row r="325">
          <cell r="A325">
            <v>117</v>
          </cell>
          <cell r="B325" t="str">
            <v>Ц00002335</v>
          </cell>
          <cell r="C325" t="str">
            <v>Нежилое здание Об.пл. 1475,3кв.м. (Коровник№4) Кад№ 23:24:0701000:783 Литер Н (НП  МТФ№2)</v>
          </cell>
          <cell r="D325">
            <v>41935</v>
          </cell>
          <cell r="E325">
            <v>41935</v>
          </cell>
          <cell r="F325">
            <v>3330930.21</v>
          </cell>
          <cell r="G325">
            <v>0.98663458968190321</v>
          </cell>
          <cell r="H325">
            <v>3286410.9610024057</v>
          </cell>
          <cell r="I325">
            <v>1.189041095890411</v>
          </cell>
          <cell r="J325" t="str">
            <v>металлопрофиль</v>
          </cell>
          <cell r="K325" t="str">
            <v>КС-5</v>
          </cell>
          <cell r="L325">
            <v>40</v>
          </cell>
          <cell r="M325">
            <v>2.9726027397260275E-2</v>
          </cell>
          <cell r="N325">
            <v>0</v>
          </cell>
          <cell r="O325">
            <v>0</v>
          </cell>
          <cell r="P325">
            <v>2.9726027397260268E-2</v>
          </cell>
          <cell r="Q325">
            <v>3073289.19</v>
          </cell>
          <cell r="R325">
            <v>2083.1621975191488</v>
          </cell>
          <cell r="S325" t="str">
            <v>Соответствует</v>
          </cell>
          <cell r="T325">
            <v>3188719</v>
          </cell>
          <cell r="U325">
            <v>2161.4037822815699</v>
          </cell>
          <cell r="V325">
            <v>1.0375590459809609</v>
          </cell>
          <cell r="W325" t="str">
            <v>Соответствует</v>
          </cell>
          <cell r="X325" t="str">
            <v>отличное</v>
          </cell>
          <cell r="Y325">
            <v>0.1</v>
          </cell>
          <cell r="Z325">
            <v>2957769.8649021653</v>
          </cell>
          <cell r="AA325">
            <v>2004.8599368956588</v>
          </cell>
          <cell r="AB325">
            <v>0.96241182721309915</v>
          </cell>
          <cell r="AC325" t="str">
            <v>Соответствует</v>
          </cell>
          <cell r="AD325">
            <v>36964566</v>
          </cell>
          <cell r="AE325">
            <v>25055.626652206331</v>
          </cell>
          <cell r="AF325">
            <v>12.027688809851311</v>
          </cell>
          <cell r="AG325">
            <v>1475.3</v>
          </cell>
          <cell r="AH325">
            <v>0</v>
          </cell>
          <cell r="AI325">
            <v>0</v>
          </cell>
          <cell r="AJ325" t="str">
            <v>Чем обусловлена разница в балансовой стоимости в 2-3 раза между объектами Ц00004235, Ц00002351, Ц00002355 и объектами Ц00002317, Ц00002320, Ц00002327, Ц00002335, Ц00002340 и Ц00002346. Все объекты имеют сопоставимую площадь, конструктив и физическое состояние. При этом, стоимость каждого и первой группы объектов составляет более 8 млн. руб., стоимость каждого из второй группы объектов составляет менее 3,5 млн. руб.</v>
          </cell>
          <cell r="AK325">
            <v>1</v>
          </cell>
          <cell r="AL325">
            <v>3188719</v>
          </cell>
          <cell r="AM325" t="str">
            <v>По сроку службы</v>
          </cell>
        </row>
        <row r="326">
          <cell r="A326">
            <v>118</v>
          </cell>
          <cell r="B326" t="str">
            <v>Ц00002340</v>
          </cell>
          <cell r="C326" t="str">
            <v>Нежилое здание Об.пл. 1475,3кв.м. (Коровник№5) Кад№ 23:24:0701000:800 Литер О (НП  МТФ№2)</v>
          </cell>
          <cell r="D326">
            <v>41935</v>
          </cell>
          <cell r="E326">
            <v>41935</v>
          </cell>
          <cell r="F326">
            <v>3449690.59</v>
          </cell>
          <cell r="G326">
            <v>0.98663458968190321</v>
          </cell>
          <cell r="H326">
            <v>3403584.0597941726</v>
          </cell>
          <cell r="I326">
            <v>1.189041095890411</v>
          </cell>
          <cell r="J326" t="str">
            <v>металлопрофиль</v>
          </cell>
          <cell r="K326" t="str">
            <v>КС-5</v>
          </cell>
          <cell r="L326">
            <v>40</v>
          </cell>
          <cell r="M326">
            <v>2.9726027397260275E-2</v>
          </cell>
          <cell r="N326">
            <v>0</v>
          </cell>
          <cell r="O326">
            <v>0</v>
          </cell>
          <cell r="P326">
            <v>2.9726027397260268E-2</v>
          </cell>
          <cell r="Q326">
            <v>3182863.75</v>
          </cell>
          <cell r="R326">
            <v>2157.4349284891209</v>
          </cell>
          <cell r="S326" t="str">
            <v>Соответствует</v>
          </cell>
          <cell r="T326">
            <v>3302409</v>
          </cell>
          <cell r="U326">
            <v>2238.466074696672</v>
          </cell>
          <cell r="V326">
            <v>1.037559022122766</v>
          </cell>
          <cell r="W326" t="str">
            <v>Соответствует</v>
          </cell>
          <cell r="X326" t="str">
            <v>отличное</v>
          </cell>
          <cell r="Y326">
            <v>0.1</v>
          </cell>
          <cell r="Z326">
            <v>3063225.6538147554</v>
          </cell>
          <cell r="AA326">
            <v>2076.3408485153905</v>
          </cell>
          <cell r="AB326">
            <v>0.96241180723326769</v>
          </cell>
          <cell r="AC326" t="str">
            <v>Соответствует</v>
          </cell>
          <cell r="AD326">
            <v>36964566</v>
          </cell>
          <cell r="AE326">
            <v>25055.626652206331</v>
          </cell>
          <cell r="AF326">
            <v>11.613618710508735</v>
          </cell>
          <cell r="AG326">
            <v>1475.3</v>
          </cell>
          <cell r="AH326">
            <v>0</v>
          </cell>
          <cell r="AI326">
            <v>0</v>
          </cell>
          <cell r="AJ326" t="str">
            <v>Чем обусловлена разница в балансовой стоимости в 2-3 раза между объектами Ц00004235, Ц00002351, Ц00002355 и объектами Ц00002317, Ц00002320, Ц00002327, Ц00002335, Ц00002340 и Ц00002346. Все объекты имеют сопоставимую площадь, конструктив и физическое состояние. При этом, стоимость каждого и первой группы объектов составляет более 8 млн. руб., стоимость каждого из второй группы объектов составляет менее 3,5 млн. руб.</v>
          </cell>
          <cell r="AK326">
            <v>1</v>
          </cell>
          <cell r="AL326">
            <v>3302409</v>
          </cell>
          <cell r="AM326" t="str">
            <v>По сроку службы</v>
          </cell>
        </row>
        <row r="327">
          <cell r="A327">
            <v>119</v>
          </cell>
          <cell r="B327" t="str">
            <v>Ц00002346</v>
          </cell>
          <cell r="C327" t="str">
            <v>Нежилое здание Об.пл. 1475,3кв.м. (Коровник№6) Кад№ 23:24:0701000:801 Литер П (НП  МТФ№2)</v>
          </cell>
          <cell r="D327">
            <v>41935</v>
          </cell>
          <cell r="E327">
            <v>41935</v>
          </cell>
          <cell r="F327">
            <v>3449690.59</v>
          </cell>
          <cell r="G327">
            <v>0.98663458968190321</v>
          </cell>
          <cell r="H327">
            <v>3403584.0597941726</v>
          </cell>
          <cell r="I327">
            <v>1.189041095890411</v>
          </cell>
          <cell r="J327" t="str">
            <v>металлопрофиль</v>
          </cell>
          <cell r="K327" t="str">
            <v>КС-5</v>
          </cell>
          <cell r="L327">
            <v>40</v>
          </cell>
          <cell r="M327">
            <v>2.9726027397260275E-2</v>
          </cell>
          <cell r="N327">
            <v>0</v>
          </cell>
          <cell r="O327">
            <v>0</v>
          </cell>
          <cell r="P327">
            <v>2.9726027397260268E-2</v>
          </cell>
          <cell r="Q327">
            <v>3182863.75</v>
          </cell>
          <cell r="R327">
            <v>2157.4349284891209</v>
          </cell>
          <cell r="S327" t="str">
            <v>Соответствует</v>
          </cell>
          <cell r="T327">
            <v>3302409</v>
          </cell>
          <cell r="U327">
            <v>2238.466074696672</v>
          </cell>
          <cell r="V327">
            <v>1.037559022122766</v>
          </cell>
          <cell r="W327" t="str">
            <v>Соответствует</v>
          </cell>
          <cell r="X327" t="str">
            <v>отличное</v>
          </cell>
          <cell r="Y327">
            <v>0.1</v>
          </cell>
          <cell r="Z327">
            <v>3063225.6538147554</v>
          </cell>
          <cell r="AA327">
            <v>2076.3408485153905</v>
          </cell>
          <cell r="AB327">
            <v>0.96241180723326769</v>
          </cell>
          <cell r="AC327" t="str">
            <v>Соответствует</v>
          </cell>
          <cell r="AD327">
            <v>36964566</v>
          </cell>
          <cell r="AE327">
            <v>25055.626652206331</v>
          </cell>
          <cell r="AF327">
            <v>11.613618710508735</v>
          </cell>
          <cell r="AG327">
            <v>1475.3</v>
          </cell>
          <cell r="AH327">
            <v>0</v>
          </cell>
          <cell r="AI327">
            <v>0</v>
          </cell>
          <cell r="AJ327" t="str">
            <v>Чем обусловлена разница в балансовой стоимости в 2-3 раза между объектами Ц00004235, Ц00002351, Ц00002355 и объектами Ц00002317, Ц00002320, Ц00002327, Ц00002335, Ц00002340 и Ц00002346. Все объекты имеют сопоставимую площадь, конструктив и физическое состояние. При этом, стоимость каждого и первой группы объектов составляет более 8 млн. руб., стоимость каждого из второй группы объектов составляет менее 3,5 млн. руб.</v>
          </cell>
          <cell r="AK327">
            <v>1</v>
          </cell>
          <cell r="AL327">
            <v>3302409</v>
          </cell>
          <cell r="AM327" t="str">
            <v>По сроку службы</v>
          </cell>
        </row>
        <row r="328">
          <cell r="A328">
            <v>126</v>
          </cell>
          <cell r="B328" t="str">
            <v>Ц00002284</v>
          </cell>
          <cell r="C328" t="str">
            <v>Нежилое здание Об.пл. 941,3кв.м. (Доильный блок) Кад№ 23:24:0701000:788 Литер И (НП  МТФ№2)</v>
          </cell>
          <cell r="D328">
            <v>41935</v>
          </cell>
          <cell r="E328">
            <v>41935</v>
          </cell>
          <cell r="F328">
            <v>6398019.46</v>
          </cell>
          <cell r="G328">
            <v>0.98663458968190321</v>
          </cell>
          <cell r="H328">
            <v>6312507.3046939317</v>
          </cell>
          <cell r="I328">
            <v>1.189041095890411</v>
          </cell>
          <cell r="J328" t="str">
            <v>монолитный бетон</v>
          </cell>
          <cell r="K328" t="str">
            <v>КС-3</v>
          </cell>
          <cell r="L328">
            <v>50</v>
          </cell>
          <cell r="M328">
            <v>2.3780821917808219E-2</v>
          </cell>
          <cell r="N328">
            <v>0</v>
          </cell>
          <cell r="O328">
            <v>0</v>
          </cell>
          <cell r="P328">
            <v>2.378082191780817E-2</v>
          </cell>
          <cell r="Q328">
            <v>5903145.0800000001</v>
          </cell>
          <cell r="R328">
            <v>6271.2685435036656</v>
          </cell>
          <cell r="S328" t="str">
            <v>Соответствует</v>
          </cell>
          <cell r="T328">
            <v>6162391</v>
          </cell>
          <cell r="U328">
            <v>6546.6811855943906</v>
          </cell>
          <cell r="V328">
            <v>1.0439165760771036</v>
          </cell>
          <cell r="W328" t="str">
            <v>Соответствует</v>
          </cell>
          <cell r="X328" t="str">
            <v>отличное</v>
          </cell>
          <cell r="Y328">
            <v>0.05</v>
          </cell>
          <cell r="Z328">
            <v>5996881.9394592345</v>
          </cell>
          <cell r="AA328">
            <v>6370.8508864965843</v>
          </cell>
          <cell r="AB328">
            <v>1.015879138694527</v>
          </cell>
          <cell r="AC328" t="str">
            <v>Соответствует</v>
          </cell>
          <cell r="AD328">
            <v>39924010</v>
          </cell>
          <cell r="AE328">
            <v>42413.693827685122</v>
          </cell>
          <cell r="AF328">
            <v>6.7631761474512162</v>
          </cell>
          <cell r="AG328">
            <v>941.3</v>
          </cell>
          <cell r="AH328">
            <v>0</v>
          </cell>
          <cell r="AI328">
            <v>0</v>
          </cell>
          <cell r="AJ328" t="str">
            <v>Чем обусловлена разница в балансовой стоимости в 2-3 раза между объектами Ц00004235, Ц00002351, Ц00002355 и объектами Ц00002317, Ц00002320, Ц00002327, Ц00002335, Ц00002340 и Ц00002346. Все объекты имеют сопоставимую площадь, конструктив и физическое состояние. При этом, стоимость каждого из первой группы объектов (Ц00004235, Ц00002351, Ц00002355) составляет более 8 млн. руб., стоимость каждого из второй группы объектов (Ц00002317, Ц00002320, Ц00002327, Ц00002335, Ц00002340 и Ц00002346) составляет менее 3,5 млн. руб.</v>
          </cell>
          <cell r="AK328">
            <v>1</v>
          </cell>
          <cell r="AL328">
            <v>5996881.9394592345</v>
          </cell>
          <cell r="AM328" t="str">
            <v>Экспертно</v>
          </cell>
        </row>
        <row r="329">
          <cell r="A329">
            <v>145</v>
          </cell>
          <cell r="B329" t="str">
            <v>Р00008444</v>
          </cell>
          <cell r="C329" t="str">
            <v>Силосо-сенажная траншея №1 Об.S-1560,9 кв.м. МТФ №3  Литер Х  Кад№ 23:11:0702000:772</v>
          </cell>
          <cell r="D329">
            <v>40599</v>
          </cell>
          <cell r="E329">
            <v>40599</v>
          </cell>
          <cell r="F329">
            <v>7426069.5</v>
          </cell>
          <cell r="G329">
            <v>1.4002276176024278</v>
          </cell>
          <cell r="H329">
            <v>10398187.604135051</v>
          </cell>
          <cell r="I329">
            <v>4.8493150684931505</v>
          </cell>
          <cell r="J329" t="str">
            <v>бетонные</v>
          </cell>
          <cell r="K329" t="str">
            <v>КС-8</v>
          </cell>
          <cell r="L329">
            <v>45</v>
          </cell>
          <cell r="M329">
            <v>0.10776255707762557</v>
          </cell>
          <cell r="N329">
            <v>0</v>
          </cell>
          <cell r="O329">
            <v>0</v>
          </cell>
          <cell r="P329">
            <v>0.10776255707762561</v>
          </cell>
          <cell r="Q329">
            <v>6232961.3600000003</v>
          </cell>
          <cell r="R329">
            <v>3993.1842911141007</v>
          </cell>
          <cell r="S329" t="str">
            <v>Соответствует</v>
          </cell>
          <cell r="T329">
            <v>9277652</v>
          </cell>
          <cell r="U329">
            <v>5943.7837145236717</v>
          </cell>
          <cell r="V329">
            <v>1.4884821939598867</v>
          </cell>
          <cell r="W329" t="str">
            <v>Соответствует</v>
          </cell>
          <cell r="X329" t="str">
            <v>отличное</v>
          </cell>
          <cell r="Y329">
            <v>0.1</v>
          </cell>
          <cell r="Z329">
            <v>9358368.8437215462</v>
          </cell>
          <cell r="AA329">
            <v>5995.495447319845</v>
          </cell>
          <cell r="AB329">
            <v>1.5014321930148378</v>
          </cell>
          <cell r="AC329" t="str">
            <v>Соответствует</v>
          </cell>
          <cell r="AD329">
            <v>0</v>
          </cell>
          <cell r="AE329">
            <v>0</v>
          </cell>
          <cell r="AF329">
            <v>0</v>
          </cell>
          <cell r="AG329">
            <v>1560.9</v>
          </cell>
          <cell r="AH329">
            <v>0</v>
          </cell>
          <cell r="AI329">
            <v>0</v>
          </cell>
          <cell r="AL329">
            <v>9277652</v>
          </cell>
          <cell r="AM329" t="str">
            <v>По сроку службы</v>
          </cell>
        </row>
        <row r="330">
          <cell r="A330">
            <v>146</v>
          </cell>
          <cell r="B330" t="str">
            <v>Р00008445</v>
          </cell>
          <cell r="C330" t="str">
            <v>Силосо-сенажная траншея №2  Об.S-1560,9кв.м. МТФ №3  ЛитерЦ Кад№ 23:11:0702000:767</v>
          </cell>
          <cell r="D330">
            <v>40599</v>
          </cell>
          <cell r="E330">
            <v>40599</v>
          </cell>
          <cell r="F330">
            <v>7426069.5</v>
          </cell>
          <cell r="G330">
            <v>1.4002276176024278</v>
          </cell>
          <cell r="H330">
            <v>10398187.604135051</v>
          </cell>
          <cell r="I330">
            <v>4.8493150684931505</v>
          </cell>
          <cell r="J330" t="str">
            <v>бетонные</v>
          </cell>
          <cell r="K330" t="str">
            <v>КС-8</v>
          </cell>
          <cell r="L330">
            <v>45</v>
          </cell>
          <cell r="M330">
            <v>0.10776255707762557</v>
          </cell>
          <cell r="N330">
            <v>0</v>
          </cell>
          <cell r="O330">
            <v>0</v>
          </cell>
          <cell r="P330">
            <v>0.10776255707762561</v>
          </cell>
          <cell r="Q330">
            <v>6232961.3600000003</v>
          </cell>
          <cell r="R330">
            <v>3993.1842911141007</v>
          </cell>
          <cell r="S330" t="str">
            <v>Соответствует</v>
          </cell>
          <cell r="T330">
            <v>9277652</v>
          </cell>
          <cell r="U330">
            <v>5943.7837145236717</v>
          </cell>
          <cell r="V330">
            <v>1.4884821939598867</v>
          </cell>
          <cell r="W330" t="str">
            <v>Соответствует</v>
          </cell>
          <cell r="X330" t="str">
            <v>отличное</v>
          </cell>
          <cell r="Y330">
            <v>0.1</v>
          </cell>
          <cell r="Z330">
            <v>9358368.8437215462</v>
          </cell>
          <cell r="AA330">
            <v>5995.495447319845</v>
          </cell>
          <cell r="AB330">
            <v>1.5014321930148378</v>
          </cell>
          <cell r="AC330" t="str">
            <v>Соответствует</v>
          </cell>
          <cell r="AD330">
            <v>0</v>
          </cell>
          <cell r="AE330">
            <v>0</v>
          </cell>
          <cell r="AF330">
            <v>0</v>
          </cell>
          <cell r="AG330">
            <v>1560.9</v>
          </cell>
          <cell r="AH330">
            <v>0</v>
          </cell>
          <cell r="AI330" t="str">
            <v>в наименовании площадь 1560,9 кв. м, в таблице Недвижимость-1 - 621,4 кв. м. Уточнить - скорее всего ошибка.</v>
          </cell>
          <cell r="AJ330" t="str">
            <v>Судя по фото, траншея Р00008445 имеет такую же площадь, что и траншея Р00008445. В переданных данных ошибка в площади. Исправил.</v>
          </cell>
          <cell r="AL330">
            <v>9277652</v>
          </cell>
          <cell r="AM330" t="str">
            <v>По сроку службы</v>
          </cell>
        </row>
        <row r="331">
          <cell r="A331">
            <v>147</v>
          </cell>
          <cell r="B331" t="str">
            <v>Р00008446</v>
          </cell>
          <cell r="C331" t="str">
            <v>Силосо-сенажная траншея №3 Об. S-1560,9 кв.м. МТФ №3  Литер I    Кад№ 23:11:0702000:751</v>
          </cell>
          <cell r="D331">
            <v>40663</v>
          </cell>
          <cell r="E331">
            <v>40663</v>
          </cell>
          <cell r="F331">
            <v>3967948.91</v>
          </cell>
          <cell r="G331">
            <v>1.4002276176024278</v>
          </cell>
          <cell r="H331">
            <v>5556031.6490174504</v>
          </cell>
          <cell r="I331">
            <v>4.6739726027397257</v>
          </cell>
          <cell r="J331" t="str">
            <v>железобетон</v>
          </cell>
          <cell r="K331" t="str">
            <v>КС-4</v>
          </cell>
          <cell r="L331">
            <v>45</v>
          </cell>
          <cell r="M331">
            <v>0.10386605783866057</v>
          </cell>
          <cell r="N331">
            <v>0</v>
          </cell>
          <cell r="O331">
            <v>0</v>
          </cell>
          <cell r="P331">
            <v>0.10386605783866054</v>
          </cell>
          <cell r="Q331">
            <v>3352422.1100000003</v>
          </cell>
          <cell r="R331">
            <v>2147.7494458325327</v>
          </cell>
          <cell r="S331" t="str">
            <v>Соответствует</v>
          </cell>
          <cell r="T331">
            <v>4978949</v>
          </cell>
          <cell r="U331">
            <v>3189.7937087577679</v>
          </cell>
          <cell r="V331">
            <v>1.4851796213693387</v>
          </cell>
          <cell r="W331" t="str">
            <v>Соответствует</v>
          </cell>
          <cell r="X331" t="str">
            <v>отличное</v>
          </cell>
          <cell r="Y331">
            <v>0.1</v>
          </cell>
          <cell r="Z331">
            <v>5000428.4841157058</v>
          </cell>
          <cell r="AA331">
            <v>3203.5546698159433</v>
          </cell>
          <cell r="AB331">
            <v>1.4915867751855703</v>
          </cell>
          <cell r="AC331" t="str">
            <v>Соответствует</v>
          </cell>
          <cell r="AD331">
            <v>0</v>
          </cell>
          <cell r="AE331">
            <v>0</v>
          </cell>
          <cell r="AF331">
            <v>0</v>
          </cell>
          <cell r="AG331">
            <v>1560.9</v>
          </cell>
          <cell r="AH331">
            <v>0</v>
          </cell>
          <cell r="AI331">
            <v>0</v>
          </cell>
          <cell r="AJ331" t="str">
            <v>Чем обусловлена разница в балансовой стоимости в 2 раза между объектами Р00008444, Р00008445 и объектом Р00008446. Все объекты имеют одинаковую площадь, конструктив и физическое состояние. При этом, стоимость каждого из объектов  Р00008444, Р00008445 составляет более 7 млн. руб., стоимость объекта Р00008446 составляет менее 4 млн. руб.</v>
          </cell>
          <cell r="AK331">
            <v>1</v>
          </cell>
          <cell r="AL331">
            <v>4978949</v>
          </cell>
          <cell r="AM331" t="str">
            <v>По сроку службы</v>
          </cell>
        </row>
        <row r="332">
          <cell r="A332">
            <v>159</v>
          </cell>
          <cell r="B332">
            <v>411</v>
          </cell>
          <cell r="C332" t="str">
            <v>Фруктохранилище на 1200 т   (Семенной склад, (204) ЦЗС Об.S-2121,3 Литер В Кад№ 23:11:0607000:1855</v>
          </cell>
          <cell r="D332">
            <v>33953</v>
          </cell>
          <cell r="E332">
            <v>33953</v>
          </cell>
          <cell r="F332">
            <v>3371375.78</v>
          </cell>
          <cell r="G332">
            <v>13.261762999999998</v>
          </cell>
          <cell r="H332">
            <v>44710386.578300133</v>
          </cell>
          <cell r="I332">
            <v>23.057534246575344</v>
          </cell>
          <cell r="J332" t="str">
            <v>кирпичные</v>
          </cell>
          <cell r="K332" t="str">
            <v>КС-1</v>
          </cell>
          <cell r="L332">
            <v>60</v>
          </cell>
          <cell r="M332">
            <v>0.3842922374429224</v>
          </cell>
          <cell r="N332">
            <v>0</v>
          </cell>
          <cell r="O332">
            <v>0</v>
          </cell>
          <cell r="P332">
            <v>0.3842922374429224</v>
          </cell>
          <cell r="Q332">
            <v>2504909.6599999997</v>
          </cell>
          <cell r="R332">
            <v>1180.8370621788524</v>
          </cell>
          <cell r="S332" t="str">
            <v>Не соответствует</v>
          </cell>
          <cell r="T332">
            <v>27528532</v>
          </cell>
          <cell r="U332">
            <v>12977.19888747466</v>
          </cell>
          <cell r="V332">
            <v>10.989830267970623</v>
          </cell>
          <cell r="W332" t="str">
            <v>Соответствует</v>
          </cell>
          <cell r="X332" t="str">
            <v>отличное</v>
          </cell>
          <cell r="Y332">
            <v>0.2</v>
          </cell>
          <cell r="Z332">
            <v>35768309.262640111</v>
          </cell>
          <cell r="AA332">
            <v>16861.50439006275</v>
          </cell>
          <cell r="AB332">
            <v>14.279281138881517</v>
          </cell>
          <cell r="AC332" t="str">
            <v>Соответствует</v>
          </cell>
          <cell r="AD332">
            <v>28354040</v>
          </cell>
          <cell r="AE332">
            <v>13366.350822608776</v>
          </cell>
          <cell r="AF332">
            <v>11.319386264812442</v>
          </cell>
          <cell r="AG332">
            <v>2121.3000000000002</v>
          </cell>
          <cell r="AH332">
            <v>0</v>
          </cell>
          <cell r="AI332" t="str">
            <v>Уточнить состояние по фото</v>
          </cell>
          <cell r="AL332">
            <v>27528532</v>
          </cell>
          <cell r="AM332" t="str">
            <v>По сроку службы</v>
          </cell>
        </row>
        <row r="333">
          <cell r="A333">
            <v>178</v>
          </cell>
          <cell r="B333">
            <v>2655</v>
          </cell>
          <cell r="C333" t="str">
            <v>Авто-дорога с твердым покрытием</v>
          </cell>
          <cell r="D333">
            <v>33587</v>
          </cell>
          <cell r="E333">
            <v>33587</v>
          </cell>
          <cell r="F333">
            <v>2670100</v>
          </cell>
          <cell r="G333">
            <v>13.261762999999998</v>
          </cell>
          <cell r="H333">
            <v>35410233.386299998</v>
          </cell>
          <cell r="I333">
            <v>24.06027397260274</v>
          </cell>
          <cell r="J333" t="str">
            <v>Асфальт</v>
          </cell>
          <cell r="K333" t="str">
            <v>КС-8</v>
          </cell>
          <cell r="L333">
            <v>17</v>
          </cell>
          <cell r="M333">
            <v>0.8</v>
          </cell>
          <cell r="N333">
            <v>0</v>
          </cell>
          <cell r="O333">
            <v>0</v>
          </cell>
          <cell r="P333">
            <v>0.8</v>
          </cell>
          <cell r="Q333">
            <v>2391964.5</v>
          </cell>
          <cell r="R333" t="e">
            <v>#DIV/0!</v>
          </cell>
          <cell r="S333" t="str">
            <v>Не соответствует</v>
          </cell>
          <cell r="T333">
            <v>7082047</v>
          </cell>
          <cell r="U333" t="e">
            <v>#DIV/0!</v>
          </cell>
          <cell r="V333">
            <v>2.9607659310997301</v>
          </cell>
          <cell r="W333" t="str">
            <v>Соответствует</v>
          </cell>
          <cell r="X333">
            <v>0</v>
          </cell>
          <cell r="Y333">
            <v>0</v>
          </cell>
          <cell r="Z333" t="str">
            <v/>
          </cell>
          <cell r="AA333" t="str">
            <v/>
          </cell>
          <cell r="AB333" t="e">
            <v>#VALUE!</v>
          </cell>
          <cell r="AC333" t="str">
            <v>Не рассчитывалась</v>
          </cell>
          <cell r="AD333">
            <v>8884531</v>
          </cell>
          <cell r="AE333" t="str">
            <v>Не рассчитывалась</v>
          </cell>
          <cell r="AF333">
            <v>3.7143239374999086</v>
          </cell>
          <cell r="AG333">
            <v>0</v>
          </cell>
          <cell r="AH333">
            <v>0</v>
          </cell>
          <cell r="AI333">
            <v>0</v>
          </cell>
          <cell r="AJ333" t="str">
            <v>Фото не предоставлено. Проверка по Ко-Инвесту дает сопоставимые значения стоимости, рассчитанной по сроку службы.</v>
          </cell>
          <cell r="AL333">
            <v>7082047</v>
          </cell>
          <cell r="AM333" t="str">
            <v>По сроку службы</v>
          </cell>
        </row>
        <row r="334">
          <cell r="A334">
            <v>199</v>
          </cell>
          <cell r="B334" t="str">
            <v>Р00010136</v>
          </cell>
          <cell r="C334" t="str">
            <v>Артскважина №1 Н  - орошение (МТФ№5)   Кад№ 23:11:0702000:875</v>
          </cell>
          <cell r="D334">
            <v>41633</v>
          </cell>
          <cell r="E334">
            <v>41633</v>
          </cell>
          <cell r="F334">
            <v>4095699.59</v>
          </cell>
          <cell r="G334">
            <v>1.0161046111493461</v>
          </cell>
          <cell r="H334">
            <v>4161659.2392814863</v>
          </cell>
          <cell r="I334">
            <v>2.0164383561643837</v>
          </cell>
          <cell r="J334" t="str">
            <v>стальная</v>
          </cell>
          <cell r="K334" t="str">
            <v>КС-12</v>
          </cell>
          <cell r="L334">
            <v>15</v>
          </cell>
          <cell r="M334">
            <v>0.13442922374429225</v>
          </cell>
          <cell r="N334">
            <v>0</v>
          </cell>
          <cell r="O334">
            <v>0</v>
          </cell>
          <cell r="P334">
            <v>0.13442922374429223</v>
          </cell>
          <cell r="Q334">
            <v>2484276.71</v>
          </cell>
          <cell r="R334" t="e">
            <v>#VALUE!</v>
          </cell>
          <cell r="S334" t="str">
            <v>Соответствует</v>
          </cell>
          <cell r="T334">
            <v>3602211</v>
          </cell>
          <cell r="U334" t="e">
            <v>#VALUE!</v>
          </cell>
          <cell r="V334">
            <v>1.4500039329354739</v>
          </cell>
          <cell r="W334" t="str">
            <v>Не соответствует</v>
          </cell>
          <cell r="X334">
            <v>0</v>
          </cell>
          <cell r="Y334">
            <v>0</v>
          </cell>
          <cell r="Z334" t="str">
            <v/>
          </cell>
          <cell r="AA334" t="str">
            <v/>
          </cell>
          <cell r="AB334" t="e">
            <v>#VALUE!</v>
          </cell>
          <cell r="AC334" t="str">
            <v>Не рассчитывалась</v>
          </cell>
          <cell r="AD334">
            <v>2491355</v>
          </cell>
          <cell r="AE334" t="str">
            <v>Не рассчитывалась</v>
          </cell>
          <cell r="AF334">
            <v>1.0028492357439522</v>
          </cell>
          <cell r="AG334" t="str">
            <v>Глубина 200 м.</v>
          </cell>
          <cell r="AH334">
            <v>0</v>
          </cell>
          <cell r="AI334">
            <v>0</v>
          </cell>
          <cell r="AJ334" t="str">
            <v>Фото не предоставлено. Расчет по Ко-Инвесту.</v>
          </cell>
          <cell r="AL334">
            <v>2491355</v>
          </cell>
          <cell r="AM334" t="str">
            <v>Ко-Инвест</v>
          </cell>
        </row>
        <row r="335">
          <cell r="A335">
            <v>200</v>
          </cell>
          <cell r="B335" t="str">
            <v>Р00010139</v>
          </cell>
          <cell r="C335" t="str">
            <v>Артскважина №2 Б  - орошение (МТФ№5)   Кад№ 23:11:0702000:876</v>
          </cell>
          <cell r="D335">
            <v>41633</v>
          </cell>
          <cell r="E335">
            <v>41633</v>
          </cell>
          <cell r="F335">
            <v>4204534.76</v>
          </cell>
          <cell r="G335">
            <v>1.0161046111493461</v>
          </cell>
          <cell r="H335">
            <v>4272247.1573737096</v>
          </cell>
          <cell r="I335">
            <v>2.0164383561643837</v>
          </cell>
          <cell r="J335" t="str">
            <v>стальная</v>
          </cell>
          <cell r="K335" t="str">
            <v>КС-12</v>
          </cell>
          <cell r="L335">
            <v>15</v>
          </cell>
          <cell r="M335">
            <v>0.13442922374429225</v>
          </cell>
          <cell r="N335">
            <v>0</v>
          </cell>
          <cell r="O335">
            <v>0</v>
          </cell>
          <cell r="P335">
            <v>0.13442922374429223</v>
          </cell>
          <cell r="Q335">
            <v>2550291.5599999996</v>
          </cell>
          <cell r="R335" t="e">
            <v>#VALUE!</v>
          </cell>
          <cell r="S335" t="str">
            <v>Соответствует</v>
          </cell>
          <cell r="T335">
            <v>3697932</v>
          </cell>
          <cell r="U335" t="e">
            <v>#VALUE!</v>
          </cell>
          <cell r="V335">
            <v>1.4500036223309309</v>
          </cell>
          <cell r="W335" t="str">
            <v>Не соответствует</v>
          </cell>
          <cell r="X335">
            <v>0</v>
          </cell>
          <cell r="Y335">
            <v>0</v>
          </cell>
          <cell r="Z335" t="str">
            <v/>
          </cell>
          <cell r="AA335" t="str">
            <v/>
          </cell>
          <cell r="AB335" t="e">
            <v>#VALUE!</v>
          </cell>
          <cell r="AC335" t="str">
            <v>Не рассчитывалась</v>
          </cell>
          <cell r="AD335">
            <v>2491355</v>
          </cell>
          <cell r="AE335" t="str">
            <v>Не рассчитывалась</v>
          </cell>
          <cell r="AF335">
            <v>0.97689026583297811</v>
          </cell>
          <cell r="AG335" t="str">
            <v>Глубина 200 м.</v>
          </cell>
          <cell r="AH335">
            <v>0</v>
          </cell>
          <cell r="AI335">
            <v>0</v>
          </cell>
          <cell r="AJ335" t="str">
            <v>Фото не предоставлено. Расчет по Ко-Инвесту.</v>
          </cell>
          <cell r="AL335">
            <v>2491355</v>
          </cell>
          <cell r="AM335" t="str">
            <v>Ко-Инвест</v>
          </cell>
        </row>
        <row r="336">
          <cell r="A336">
            <v>201</v>
          </cell>
          <cell r="B336" t="str">
            <v>Р00010137</v>
          </cell>
          <cell r="C336" t="str">
            <v>Артскважина №3 Н  - орошение (МТФ№5)  гл. 200м Кад№ 23:11:0702000:877</v>
          </cell>
          <cell r="D336">
            <v>41633</v>
          </cell>
          <cell r="E336">
            <v>41633</v>
          </cell>
          <cell r="F336">
            <v>3893232.6</v>
          </cell>
          <cell r="G336">
            <v>1.0161046111493461</v>
          </cell>
          <cell r="H336">
            <v>3955931.597136958</v>
          </cell>
          <cell r="I336">
            <v>2.0164383561643837</v>
          </cell>
          <cell r="J336" t="str">
            <v>стальная</v>
          </cell>
          <cell r="K336" t="str">
            <v>КС-12</v>
          </cell>
          <cell r="L336">
            <v>15</v>
          </cell>
          <cell r="M336">
            <v>0.13442922374429225</v>
          </cell>
          <cell r="N336">
            <v>0</v>
          </cell>
          <cell r="O336">
            <v>0</v>
          </cell>
          <cell r="P336">
            <v>0.13442922374429223</v>
          </cell>
          <cell r="Q336">
            <v>2361468.84</v>
          </cell>
          <cell r="R336" t="e">
            <v>#VALUE!</v>
          </cell>
          <cell r="S336" t="str">
            <v>Соответствует</v>
          </cell>
          <cell r="T336">
            <v>3424139</v>
          </cell>
          <cell r="U336" t="e">
            <v>#VALUE!</v>
          </cell>
          <cell r="V336">
            <v>1.450003888257954</v>
          </cell>
          <cell r="W336" t="str">
            <v>Не соответствует</v>
          </cell>
          <cell r="X336">
            <v>0</v>
          </cell>
          <cell r="Y336">
            <v>0</v>
          </cell>
          <cell r="Z336" t="str">
            <v/>
          </cell>
          <cell r="AA336" t="str">
            <v/>
          </cell>
          <cell r="AB336" t="e">
            <v>#VALUE!</v>
          </cell>
          <cell r="AC336" t="str">
            <v>Не рассчитывалась</v>
          </cell>
          <cell r="AD336">
            <v>2491355</v>
          </cell>
          <cell r="AE336" t="str">
            <v>Не рассчитывалась</v>
          </cell>
          <cell r="AF336">
            <v>1.0550022756175772</v>
          </cell>
          <cell r="AG336" t="str">
            <v>Глубина 200 м.</v>
          </cell>
          <cell r="AH336">
            <v>0</v>
          </cell>
          <cell r="AI336">
            <v>0</v>
          </cell>
          <cell r="AJ336" t="str">
            <v>Фото не предоставлено. Расчет по Ко-Инвесту.</v>
          </cell>
          <cell r="AL336">
            <v>2491355</v>
          </cell>
          <cell r="AM336" t="str">
            <v>Ко-Инвест</v>
          </cell>
        </row>
        <row r="337">
          <cell r="A337">
            <v>210</v>
          </cell>
          <cell r="B337" t="str">
            <v>Р00009592</v>
          </cell>
          <cell r="C337" t="str">
            <v>Благоустройство  территории МТФ№3  Литер VIII Об.пл. 1680 кв.м.Кад№ 23:11:0702000:852</v>
          </cell>
          <cell r="D337">
            <v>41003</v>
          </cell>
          <cell r="E337">
            <v>41003</v>
          </cell>
          <cell r="F337">
            <v>5059137.66</v>
          </cell>
          <cell r="G337">
            <v>1.1736089030206676</v>
          </cell>
          <cell r="H337">
            <v>5937448.9993831469</v>
          </cell>
          <cell r="I337">
            <v>3.7424657534246575</v>
          </cell>
          <cell r="J337" t="str">
            <v>асфальтобетон</v>
          </cell>
          <cell r="K337" t="str">
            <v>КС-8</v>
          </cell>
          <cell r="L337">
            <v>20</v>
          </cell>
          <cell r="M337">
            <v>0.18712328767123287</v>
          </cell>
          <cell r="N337">
            <v>0</v>
          </cell>
          <cell r="O337">
            <v>0</v>
          </cell>
          <cell r="P337">
            <v>0.18712328767123287</v>
          </cell>
          <cell r="Q337">
            <v>3829291.9000000004</v>
          </cell>
          <cell r="R337">
            <v>2279.3404166666669</v>
          </cell>
          <cell r="S337" t="str">
            <v>Соответствует</v>
          </cell>
          <cell r="T337">
            <v>4826414</v>
          </cell>
          <cell r="U337">
            <v>2872.8654761904763</v>
          </cell>
          <cell r="V337">
            <v>1.2603933379954659</v>
          </cell>
          <cell r="W337" t="str">
            <v>Не соответствует</v>
          </cell>
          <cell r="X337">
            <v>0</v>
          </cell>
          <cell r="Y337">
            <v>0</v>
          </cell>
          <cell r="Z337" t="str">
            <v/>
          </cell>
          <cell r="AA337" t="str">
            <v/>
          </cell>
          <cell r="AB337" t="e">
            <v>#VALUE!</v>
          </cell>
          <cell r="AC337" t="str">
            <v>Не рассчитывалась</v>
          </cell>
          <cell r="AD337">
            <v>1578478</v>
          </cell>
          <cell r="AE337">
            <v>939.5702380952381</v>
          </cell>
          <cell r="AF337">
            <v>0.41221145872948467</v>
          </cell>
          <cell r="AG337">
            <v>1680</v>
          </cell>
          <cell r="AH337">
            <v>0</v>
          </cell>
          <cell r="AI337">
            <v>0</v>
          </cell>
          <cell r="AJ337" t="str">
            <v>Фото не предоставлено. По рыночным данным (http://www.stroukom.com/uslugi/asfaltirovanie/price.html; http://moskladka.ru/asphalting/prices), стоимость, определенная по Ко-Инвесту соответствует рыночны значениям.</v>
          </cell>
          <cell r="AL337">
            <v>1578478</v>
          </cell>
          <cell r="AM337" t="str">
            <v>Ко-Инвест</v>
          </cell>
        </row>
        <row r="338">
          <cell r="A338">
            <v>218</v>
          </cell>
          <cell r="B338" t="str">
            <v>Р00008270</v>
          </cell>
          <cell r="C338" t="str">
            <v>Благоустройство МТФ№3  Литер IV об.пл. 1660 кв.м.  Об.пл. 1660 кв.м. Кад№ 23:11:0702000:758</v>
          </cell>
          <cell r="D338">
            <v>40381</v>
          </cell>
          <cell r="E338">
            <v>40381</v>
          </cell>
          <cell r="F338">
            <v>3648075.1</v>
          </cell>
          <cell r="G338">
            <v>1.4577409162717219</v>
          </cell>
          <cell r="H338">
            <v>5317948.3389020534</v>
          </cell>
          <cell r="I338">
            <v>5.4465753424657537</v>
          </cell>
          <cell r="J338" t="str">
            <v>асфальтобетон</v>
          </cell>
          <cell r="K338" t="str">
            <v>КС-8</v>
          </cell>
          <cell r="L338">
            <v>20</v>
          </cell>
          <cell r="M338">
            <v>0.27232876712328768</v>
          </cell>
          <cell r="N338">
            <v>0</v>
          </cell>
          <cell r="O338">
            <v>0</v>
          </cell>
          <cell r="P338">
            <v>0.27232876712328768</v>
          </cell>
          <cell r="Q338">
            <v>2337992.9500000002</v>
          </cell>
          <cell r="R338">
            <v>1408.4294879518072</v>
          </cell>
          <cell r="S338" t="str">
            <v>Соответствует</v>
          </cell>
          <cell r="T338">
            <v>3869718</v>
          </cell>
          <cell r="U338">
            <v>2331.1554216867471</v>
          </cell>
          <cell r="V338">
            <v>1.655145281768279</v>
          </cell>
          <cell r="W338" t="str">
            <v>Не соответствует</v>
          </cell>
          <cell r="X338">
            <v>0</v>
          </cell>
          <cell r="Y338">
            <v>0</v>
          </cell>
          <cell r="Z338" t="str">
            <v/>
          </cell>
          <cell r="AA338" t="str">
            <v/>
          </cell>
          <cell r="AB338" t="e">
            <v>#VALUE!</v>
          </cell>
          <cell r="AC338" t="str">
            <v>Не рассчитывалась</v>
          </cell>
          <cell r="AD338">
            <v>1396200</v>
          </cell>
          <cell r="AE338">
            <v>841.08433734939763</v>
          </cell>
          <cell r="AF338">
            <v>0.59717887515443535</v>
          </cell>
          <cell r="AG338">
            <v>1660</v>
          </cell>
          <cell r="AH338">
            <v>0</v>
          </cell>
          <cell r="AI338">
            <v>0</v>
          </cell>
          <cell r="AJ338" t="str">
            <v>Фото не предоставлено. По рыночным данным (http://www.stroukom.com/uslugi/asfaltirovanie/price.html; http://moskladka.ru/asphalting/prices), стоимость, определенная по Ко-Инвесту соответствует рыночны значениям.</v>
          </cell>
          <cell r="AL338">
            <v>1396200</v>
          </cell>
          <cell r="AM338" t="str">
            <v>Ко-Инвест</v>
          </cell>
        </row>
        <row r="339">
          <cell r="A339">
            <v>220</v>
          </cell>
          <cell r="B339" t="str">
            <v>Ц00003325</v>
          </cell>
          <cell r="C339" t="str">
            <v>Благоустройство территории  (КС  МТФ№1)  (КС)</v>
          </cell>
          <cell r="D339">
            <v>41913</v>
          </cell>
          <cell r="E339">
            <v>41913</v>
          </cell>
          <cell r="F339">
            <v>4035167.82</v>
          </cell>
          <cell r="G339">
            <v>0.98663458968190321</v>
          </cell>
          <cell r="H339">
            <v>3981236.1463833195</v>
          </cell>
          <cell r="I339">
            <v>1.2493150684931507</v>
          </cell>
          <cell r="J339" t="str">
            <v>асфальтобетон</v>
          </cell>
          <cell r="K339" t="str">
            <v>КС-8</v>
          </cell>
          <cell r="L339">
            <v>20</v>
          </cell>
          <cell r="M339">
            <v>6.246575342465753E-2</v>
          </cell>
          <cell r="N339">
            <v>0</v>
          </cell>
          <cell r="O339">
            <v>0</v>
          </cell>
          <cell r="P339">
            <v>6.2465753424657544E-2</v>
          </cell>
          <cell r="Q339">
            <v>3577704.0999999996</v>
          </cell>
          <cell r="R339">
            <v>5222.9256934306568</v>
          </cell>
          <cell r="S339" t="str">
            <v>Соответствует</v>
          </cell>
          <cell r="T339">
            <v>3732545</v>
          </cell>
          <cell r="U339">
            <v>5448.9708029197081</v>
          </cell>
          <cell r="V339">
            <v>1.0432794036823785</v>
          </cell>
          <cell r="W339" t="str">
            <v>Не соответствует</v>
          </cell>
          <cell r="X339">
            <v>0</v>
          </cell>
          <cell r="Y339">
            <v>0</v>
          </cell>
          <cell r="Z339" t="str">
            <v/>
          </cell>
          <cell r="AA339" t="str">
            <v/>
          </cell>
          <cell r="AB339" t="e">
            <v>#VALUE!</v>
          </cell>
          <cell r="AC339" t="str">
            <v>Не рассчитывалась</v>
          </cell>
          <cell r="AD339">
            <v>742305</v>
          </cell>
          <cell r="AE339">
            <v>1083.6569343065694</v>
          </cell>
          <cell r="AF339">
            <v>0.20748082548246516</v>
          </cell>
          <cell r="AG339">
            <v>685</v>
          </cell>
          <cell r="AH339">
            <v>0</v>
          </cell>
          <cell r="AI339">
            <v>0</v>
          </cell>
          <cell r="AJ339" t="str">
            <v>Фото не предоставлено. По рыночным данным (http://www.stroukom.com/uslugi/asfaltirovanie/price.html; http://moskladka.ru/asphalting/prices), стоимость, определенная по Ко-Инвесту соответствует рыночны значениям.</v>
          </cell>
          <cell r="AL339">
            <v>742305</v>
          </cell>
          <cell r="AM339" t="str">
            <v>Ко-Инвест</v>
          </cell>
        </row>
        <row r="340">
          <cell r="A340">
            <v>223</v>
          </cell>
          <cell r="B340" t="str">
            <v>Р00009094</v>
          </cell>
          <cell r="C340" t="str">
            <v>Внутриплощадочные дороги МТФ№3 (благоустр. у телят. №5,6,7 ) Литер VII Кад.№23:11:0702000:853</v>
          </cell>
          <cell r="D340">
            <v>40908</v>
          </cell>
          <cell r="E340">
            <v>40908</v>
          </cell>
          <cell r="F340">
            <v>3957627.12</v>
          </cell>
          <cell r="G340">
            <v>1.4002276176024278</v>
          </cell>
          <cell r="H340">
            <v>5541578.793596358</v>
          </cell>
          <cell r="I340">
            <v>4.0027397260273974</v>
          </cell>
          <cell r="J340" t="str">
            <v>асфальтобетон</v>
          </cell>
          <cell r="K340" t="str">
            <v>КС-8</v>
          </cell>
          <cell r="L340">
            <v>20</v>
          </cell>
          <cell r="M340">
            <v>0.20013698630136986</v>
          </cell>
          <cell r="N340">
            <v>0</v>
          </cell>
          <cell r="O340">
            <v>0</v>
          </cell>
          <cell r="P340">
            <v>0.20013698630136989</v>
          </cell>
          <cell r="Q340">
            <v>2908090.8</v>
          </cell>
          <cell r="R340">
            <v>1951.7387919463085</v>
          </cell>
          <cell r="S340" t="str">
            <v>Соответствует</v>
          </cell>
          <cell r="T340">
            <v>4432504</v>
          </cell>
          <cell r="U340">
            <v>2974.8348993288591</v>
          </cell>
          <cell r="V340">
            <v>1.5241972499620715</v>
          </cell>
          <cell r="W340" t="str">
            <v>Не соответствует</v>
          </cell>
          <cell r="X340">
            <v>0</v>
          </cell>
          <cell r="Y340">
            <v>0</v>
          </cell>
          <cell r="Z340" t="str">
            <v/>
          </cell>
          <cell r="AA340" t="str">
            <v/>
          </cell>
          <cell r="AB340" t="e">
            <v>#VALUE!</v>
          </cell>
          <cell r="AC340" t="str">
            <v>Не рассчитывалась</v>
          </cell>
          <cell r="AD340">
            <v>1377547</v>
          </cell>
          <cell r="AE340">
            <v>924.52818791946311</v>
          </cell>
          <cell r="AF340">
            <v>0.47369463154314168</v>
          </cell>
          <cell r="AG340">
            <v>1490</v>
          </cell>
          <cell r="AH340">
            <v>0</v>
          </cell>
          <cell r="AI340">
            <v>0</v>
          </cell>
          <cell r="AJ340" t="str">
            <v>Фото не предоставлено. По рыночным данным (http://www.stroukom.com/uslugi/asfaltirovanie/price.html; http://moskladka.ru/asphalting/prices), стоимость, определенная по Ко-Инвесту соответствует рыночны значениям.</v>
          </cell>
          <cell r="AL340">
            <v>1377547</v>
          </cell>
          <cell r="AM340" t="str">
            <v>Ко-Инвест</v>
          </cell>
        </row>
        <row r="341">
          <cell r="A341">
            <v>243</v>
          </cell>
          <cell r="B341" t="str">
            <v>Ц00004420</v>
          </cell>
          <cell r="C341" t="str">
            <v>Здание нежилое Об.пл. 768,1 кв.м. Кад№ 23:24:0701000:836  Литер Э (Сенохранилище №2 на МТФ№2) (НП)</v>
          </cell>
          <cell r="D341">
            <v>42122</v>
          </cell>
          <cell r="E341">
            <v>42121</v>
          </cell>
          <cell r="F341">
            <v>3866914.38</v>
          </cell>
          <cell r="G341">
            <v>1.0055850701539299</v>
          </cell>
          <cell r="H341">
            <v>3888511.3680915404</v>
          </cell>
          <cell r="I341">
            <v>0.67945205479452053</v>
          </cell>
          <cell r="J341" t="str">
            <v>металлопрофиль</v>
          </cell>
          <cell r="K341" t="str">
            <v>КС-6</v>
          </cell>
          <cell r="L341">
            <v>35</v>
          </cell>
          <cell r="M341">
            <v>1.9412915851272014E-2</v>
          </cell>
          <cell r="N341">
            <v>0</v>
          </cell>
          <cell r="O341">
            <v>0</v>
          </cell>
          <cell r="P341">
            <v>1.9412915851272028E-2</v>
          </cell>
          <cell r="Q341">
            <v>3696001.02</v>
          </cell>
          <cell r="R341">
            <v>4811.8747819294358</v>
          </cell>
          <cell r="S341" t="str">
            <v>Соответствует</v>
          </cell>
          <cell r="T341">
            <v>3813024</v>
          </cell>
          <cell r="U341">
            <v>4964.2286160656167</v>
          </cell>
          <cell r="V341">
            <v>1.0316620529504075</v>
          </cell>
          <cell r="W341" t="str">
            <v>Соответствует</v>
          </cell>
          <cell r="X341" t="str">
            <v>хорошее</v>
          </cell>
          <cell r="Y341">
            <v>0.1</v>
          </cell>
          <cell r="Z341">
            <v>3499660.2312823865</v>
          </cell>
          <cell r="AA341">
            <v>4556.2559969826671</v>
          </cell>
          <cell r="AB341">
            <v>0.9468775068905112</v>
          </cell>
          <cell r="AC341" t="str">
            <v>Соответствует</v>
          </cell>
          <cell r="AD341">
            <v>2042961</v>
          </cell>
          <cell r="AE341">
            <v>2659.7591459445384</v>
          </cell>
          <cell r="AF341">
            <v>0.5527490357673116</v>
          </cell>
          <cell r="AG341">
            <v>768.1</v>
          </cell>
          <cell r="AH341">
            <v>0</v>
          </cell>
          <cell r="AI341">
            <v>0</v>
          </cell>
          <cell r="AL341">
            <v>3813024</v>
          </cell>
          <cell r="AM341" t="str">
            <v>По сроку службы</v>
          </cell>
        </row>
        <row r="342">
          <cell r="A342">
            <v>248</v>
          </cell>
          <cell r="B342" t="str">
            <v>Р00010140</v>
          </cell>
          <cell r="C342" t="str">
            <v>Кластер №1  Кад№ 23:11:0702000:879</v>
          </cell>
          <cell r="D342">
            <v>41633</v>
          </cell>
          <cell r="E342">
            <v>41633</v>
          </cell>
          <cell r="F342">
            <v>13723786.699999999</v>
          </cell>
          <cell r="G342">
            <v>1.0161046111493461</v>
          </cell>
          <cell r="H342">
            <v>13944802.948300067</v>
          </cell>
          <cell r="I342">
            <v>2.0164383561643837</v>
          </cell>
          <cell r="J342" t="str">
            <v>бетон</v>
          </cell>
          <cell r="K342" t="str">
            <v>КС-3</v>
          </cell>
          <cell r="L342">
            <v>45</v>
          </cell>
          <cell r="M342">
            <v>4.4809741248097418E-2</v>
          </cell>
          <cell r="N342">
            <v>0</v>
          </cell>
          <cell r="O342">
            <v>0</v>
          </cell>
          <cell r="P342">
            <v>4.4809741248097446E-2</v>
          </cell>
          <cell r="Q342">
            <v>8324264.0599999996</v>
          </cell>
          <cell r="R342" t="e">
            <v>#VALUE!</v>
          </cell>
          <cell r="S342" t="str">
            <v>Соответствует</v>
          </cell>
          <cell r="T342">
            <v>13319940</v>
          </cell>
          <cell r="U342" t="e">
            <v>#VALUE!</v>
          </cell>
          <cell r="V342">
            <v>1.6001342465822739</v>
          </cell>
          <cell r="W342" t="str">
            <v>Соответствует</v>
          </cell>
          <cell r="X342">
            <v>0</v>
          </cell>
          <cell r="Y342">
            <v>0</v>
          </cell>
          <cell r="Z342" t="str">
            <v/>
          </cell>
          <cell r="AA342" t="str">
            <v/>
          </cell>
          <cell r="AB342" t="e">
            <v>#VALUE!</v>
          </cell>
          <cell r="AC342" t="str">
            <v>Не рассчитывалась</v>
          </cell>
          <cell r="AD342" t="str">
            <v>Если все еще ошибка, то проверить всё</v>
          </cell>
          <cell r="AE342" t="str">
            <v>Не рассчитывалась</v>
          </cell>
          <cell r="AF342" t="e">
            <v>#VALUE!</v>
          </cell>
          <cell r="AG342" t="str">
            <v>протяженность - 6190 м.</v>
          </cell>
          <cell r="AH342">
            <v>0</v>
          </cell>
          <cell r="AI342">
            <v>0</v>
          </cell>
          <cell r="AJ342" t="str">
            <v>Фото и данные о технических характеристиках (объеме, площади) не предоставлены. Объект не идентифицирован. Оценщиком принято допущение о правильности расчетов по сроку службы.</v>
          </cell>
          <cell r="AK342">
            <v>1</v>
          </cell>
          <cell r="AL342">
            <v>13319940</v>
          </cell>
          <cell r="AM342" t="str">
            <v>По сроку службы</v>
          </cell>
        </row>
        <row r="343">
          <cell r="A343">
            <v>249</v>
          </cell>
          <cell r="B343" t="str">
            <v>Р00010141</v>
          </cell>
          <cell r="C343" t="str">
            <v>Кластер №2  Кад№ 23:11:0702000:878</v>
          </cell>
          <cell r="D343">
            <v>41633</v>
          </cell>
          <cell r="E343">
            <v>41633</v>
          </cell>
          <cell r="F343">
            <v>9835871.2300000004</v>
          </cell>
          <cell r="G343">
            <v>1.0161046111493461</v>
          </cell>
          <cell r="H343">
            <v>9994274.1114741918</v>
          </cell>
          <cell r="I343">
            <v>2.0164383561643837</v>
          </cell>
          <cell r="J343" t="str">
            <v>бетон</v>
          </cell>
          <cell r="K343" t="str">
            <v>КС-3</v>
          </cell>
          <cell r="L343">
            <v>45</v>
          </cell>
          <cell r="M343">
            <v>4.4809741248097418E-2</v>
          </cell>
          <cell r="N343">
            <v>0</v>
          </cell>
          <cell r="O343">
            <v>0</v>
          </cell>
          <cell r="P343">
            <v>4.4809741248097446E-2</v>
          </cell>
          <cell r="Q343">
            <v>5966020.2700000005</v>
          </cell>
          <cell r="R343" t="e">
            <v>#VALUE!</v>
          </cell>
          <cell r="S343" t="str">
            <v>Соответствует</v>
          </cell>
          <cell r="T343">
            <v>9546433</v>
          </cell>
          <cell r="U343" t="e">
            <v>#VALUE!</v>
          </cell>
          <cell r="V343">
            <v>1.6001341879450235</v>
          </cell>
          <cell r="W343" t="str">
            <v>Соответствует</v>
          </cell>
          <cell r="X343">
            <v>0</v>
          </cell>
          <cell r="Y343">
            <v>0</v>
          </cell>
          <cell r="Z343" t="str">
            <v/>
          </cell>
          <cell r="AA343" t="str">
            <v/>
          </cell>
          <cell r="AB343" t="e">
            <v>#VALUE!</v>
          </cell>
          <cell r="AC343" t="str">
            <v>Не рассчитывалась</v>
          </cell>
          <cell r="AD343" t="str">
            <v>Если все еще ошибка, то проверить всё</v>
          </cell>
          <cell r="AE343" t="str">
            <v>Не рассчитывалась</v>
          </cell>
          <cell r="AF343" t="e">
            <v>#VALUE!</v>
          </cell>
          <cell r="AG343" t="str">
            <v>протяженность - 2691 м.</v>
          </cell>
          <cell r="AH343">
            <v>0</v>
          </cell>
          <cell r="AI343">
            <v>0</v>
          </cell>
          <cell r="AJ343" t="str">
            <v>Фото и данные о технических характеристиках (объеме, площади) не предоставлены. Объект не идентифицирован. Оценщиком принято допущение о правильности расчетов по сроку службы.</v>
          </cell>
          <cell r="AK343">
            <v>1</v>
          </cell>
          <cell r="AL343">
            <v>9546433</v>
          </cell>
          <cell r="AM343" t="str">
            <v>По сроку службы</v>
          </cell>
        </row>
        <row r="344">
          <cell r="A344">
            <v>251</v>
          </cell>
          <cell r="B344" t="str">
            <v>Р00010143</v>
          </cell>
          <cell r="C344" t="str">
            <v>Кластер №5  кад№  23:11:0702000:882</v>
          </cell>
          <cell r="D344">
            <v>41633</v>
          </cell>
          <cell r="E344">
            <v>41633</v>
          </cell>
          <cell r="F344">
            <v>9570686.8399999999</v>
          </cell>
          <cell r="G344">
            <v>1.0161046111493461</v>
          </cell>
          <cell r="H344">
            <v>9724819.0299903639</v>
          </cell>
          <cell r="I344">
            <v>2.0164383561643837</v>
          </cell>
          <cell r="J344" t="str">
            <v>бетон</v>
          </cell>
          <cell r="K344" t="str">
            <v>КС-3</v>
          </cell>
          <cell r="L344">
            <v>45</v>
          </cell>
          <cell r="M344">
            <v>4.4809741248097418E-2</v>
          </cell>
          <cell r="N344">
            <v>0</v>
          </cell>
          <cell r="O344">
            <v>0</v>
          </cell>
          <cell r="P344">
            <v>4.4809741248097446E-2</v>
          </cell>
          <cell r="Q344">
            <v>5805170.5999999996</v>
          </cell>
          <cell r="R344" t="e">
            <v>#VALUE!</v>
          </cell>
          <cell r="S344" t="str">
            <v>Соответствует</v>
          </cell>
          <cell r="T344">
            <v>9289052</v>
          </cell>
          <cell r="U344" t="e">
            <v>#VALUE!</v>
          </cell>
          <cell r="V344">
            <v>1.6001341976065269</v>
          </cell>
          <cell r="W344" t="str">
            <v>Соответствует</v>
          </cell>
          <cell r="X344">
            <v>0</v>
          </cell>
          <cell r="Y344">
            <v>0</v>
          </cell>
          <cell r="Z344" t="str">
            <v/>
          </cell>
          <cell r="AA344" t="str">
            <v/>
          </cell>
          <cell r="AB344" t="e">
            <v>#VALUE!</v>
          </cell>
          <cell r="AC344" t="str">
            <v>Не рассчитывалась</v>
          </cell>
          <cell r="AD344" t="str">
            <v>Если все еще ошибка, то проверить всё</v>
          </cell>
          <cell r="AE344" t="str">
            <v>Не рассчитывалась</v>
          </cell>
          <cell r="AF344" t="e">
            <v>#VALUE!</v>
          </cell>
          <cell r="AG344" t="str">
            <v>Протяженность 2958 м</v>
          </cell>
          <cell r="AH344">
            <v>0</v>
          </cell>
          <cell r="AI344">
            <v>0</v>
          </cell>
          <cell r="AJ344" t="str">
            <v>Фото и данные о технических характеристиках (объеме, площади) не предоставлены. Объект не идентифицирован. Оценщиком принято допущение о правильности расчетов по сроку службы.</v>
          </cell>
          <cell r="AK344">
            <v>1</v>
          </cell>
          <cell r="AL344">
            <v>9289052</v>
          </cell>
          <cell r="AM344" t="str">
            <v>По сроку службы</v>
          </cell>
        </row>
        <row r="345">
          <cell r="A345">
            <v>252</v>
          </cell>
          <cell r="B345">
            <v>604</v>
          </cell>
          <cell r="C345" t="str">
            <v>Корпус №5 МТФ №5(407)     Литер Д,д1,д2 Об.пл. 6504,5 кв.м. Кад№  23:11:0702000:746</v>
          </cell>
          <cell r="D345">
            <v>34318</v>
          </cell>
          <cell r="E345">
            <v>34318</v>
          </cell>
          <cell r="F345">
            <v>15474872.890000001</v>
          </cell>
          <cell r="G345">
            <v>13.261762999999998</v>
          </cell>
          <cell r="H345">
            <v>205224096.72230506</v>
          </cell>
          <cell r="I345">
            <v>22.057534246575344</v>
          </cell>
          <cell r="J345" t="str">
            <v>металлические конструкции с обшивкой полимерным материалом</v>
          </cell>
          <cell r="K345" t="str">
            <v>КС-12</v>
          </cell>
          <cell r="L345">
            <v>35</v>
          </cell>
          <cell r="M345">
            <v>0.630215264187867</v>
          </cell>
          <cell r="N345">
            <v>0</v>
          </cell>
          <cell r="O345">
            <v>0</v>
          </cell>
          <cell r="P345">
            <v>0.630215264187867</v>
          </cell>
          <cell r="Q345">
            <v>13010878.690000001</v>
          </cell>
          <cell r="R345">
            <v>2000.2888292720427</v>
          </cell>
          <cell r="S345" t="str">
            <v>Соответствует</v>
          </cell>
          <cell r="T345">
            <v>75888738</v>
          </cell>
          <cell r="U345">
            <v>11667.113229302789</v>
          </cell>
          <cell r="V345">
            <v>5.8327142853408613</v>
          </cell>
          <cell r="W345" t="str">
            <v>Не соответствует</v>
          </cell>
          <cell r="X345">
            <v>0</v>
          </cell>
          <cell r="Y345">
            <v>0</v>
          </cell>
          <cell r="Z345" t="str">
            <v/>
          </cell>
          <cell r="AA345" t="str">
            <v/>
          </cell>
          <cell r="AB345" t="e">
            <v>#VALUE!</v>
          </cell>
          <cell r="AC345" t="str">
            <v>Не рассчитывалась</v>
          </cell>
          <cell r="AD345">
            <v>8840818</v>
          </cell>
          <cell r="AE345">
            <v>1359.1848720116843</v>
          </cell>
          <cell r="AF345">
            <v>0.67949430708280623</v>
          </cell>
          <cell r="AG345">
            <v>6504.5</v>
          </cell>
          <cell r="AH345">
            <v>0</v>
          </cell>
          <cell r="AI345" t="str">
            <v>Уточнить состояние по фото</v>
          </cell>
          <cell r="AJ345" t="str">
            <v>Фото не предоставлено. Расчет по Ко-Инвесту.</v>
          </cell>
          <cell r="AL345">
            <v>8840818</v>
          </cell>
          <cell r="AM345" t="str">
            <v>Ко-Инвест</v>
          </cell>
        </row>
        <row r="346">
          <cell r="A346">
            <v>257</v>
          </cell>
          <cell r="B346">
            <v>601</v>
          </cell>
          <cell r="C346" t="str">
            <v>Крытый ток( 277)Литер:Р (S-5909,2 кв.м.)( 277) бр.2 Кад№ 23:11:0702000:808</v>
          </cell>
          <cell r="D346">
            <v>33953</v>
          </cell>
          <cell r="E346">
            <v>33953</v>
          </cell>
          <cell r="F346">
            <v>6439766.9299999997</v>
          </cell>
          <cell r="G346">
            <v>13.261762999999998</v>
          </cell>
          <cell r="H346">
            <v>85402662.800897568</v>
          </cell>
          <cell r="I346">
            <v>23.057534246575344</v>
          </cell>
          <cell r="J346" t="str">
            <v>ж/б панели</v>
          </cell>
          <cell r="K346" t="str">
            <v>КС-12</v>
          </cell>
          <cell r="L346">
            <v>45</v>
          </cell>
          <cell r="M346">
            <v>0.51238964992389657</v>
          </cell>
          <cell r="N346">
            <v>0</v>
          </cell>
          <cell r="O346">
            <v>0</v>
          </cell>
          <cell r="P346">
            <v>0.51238964992389657</v>
          </cell>
          <cell r="Q346">
            <v>4253918.8099999996</v>
          </cell>
          <cell r="R346">
            <v>719.88066235700262</v>
          </cell>
          <cell r="S346" t="str">
            <v>Соответствует</v>
          </cell>
          <cell r="T346">
            <v>41643222</v>
          </cell>
          <cell r="U346">
            <v>7047.184390442023</v>
          </cell>
          <cell r="V346">
            <v>9.7893786553016042</v>
          </cell>
          <cell r="W346" t="str">
            <v>Не соответствует</v>
          </cell>
          <cell r="X346">
            <v>0</v>
          </cell>
          <cell r="Y346">
            <v>0</v>
          </cell>
          <cell r="Z346" t="str">
            <v/>
          </cell>
          <cell r="AA346" t="str">
            <v/>
          </cell>
          <cell r="AB346" t="e">
            <v>#VALUE!</v>
          </cell>
          <cell r="AC346" t="str">
            <v>Не рассчитывалась</v>
          </cell>
          <cell r="AD346">
            <v>2562044</v>
          </cell>
          <cell r="AE346">
            <v>433.56867257835239</v>
          </cell>
          <cell r="AF346">
            <v>0.60227853761035943</v>
          </cell>
          <cell r="AG346">
            <v>5909.2</v>
          </cell>
          <cell r="AH346">
            <v>0</v>
          </cell>
          <cell r="AI346">
            <v>0</v>
          </cell>
          <cell r="AJ346" t="str">
            <v>Фото не предоставлено. Расчет по Ко-Инвесту.</v>
          </cell>
          <cell r="AL346">
            <v>2562044</v>
          </cell>
          <cell r="AM346" t="str">
            <v>Ко-Инвест</v>
          </cell>
        </row>
        <row r="347">
          <cell r="A347">
            <v>269</v>
          </cell>
          <cell r="B347" t="str">
            <v>Ц00004287</v>
          </cell>
          <cell r="C347" t="str">
            <v>Навозохранилище №1 МТФ№1 Об. 5835,8 куб.м. (КС)</v>
          </cell>
          <cell r="D347">
            <v>42150</v>
          </cell>
          <cell r="E347">
            <v>42150</v>
          </cell>
          <cell r="F347">
            <v>9496692.3599999994</v>
          </cell>
          <cell r="G347">
            <v>1.0055850701539299</v>
          </cell>
          <cell r="H347">
            <v>9549732.0530608892</v>
          </cell>
          <cell r="I347">
            <v>0.6</v>
          </cell>
          <cell r="J347" t="str">
            <v>Бетон</v>
          </cell>
          <cell r="K347" t="str">
            <v>КС-8</v>
          </cell>
          <cell r="L347">
            <v>40</v>
          </cell>
          <cell r="M347">
            <v>1.4999999999999999E-2</v>
          </cell>
          <cell r="N347">
            <v>0</v>
          </cell>
          <cell r="O347">
            <v>0</v>
          </cell>
          <cell r="P347">
            <v>1.5000000000000013E-2</v>
          </cell>
          <cell r="Q347">
            <v>9129416.9900000002</v>
          </cell>
          <cell r="R347" t="e">
            <v>#DIV/0!</v>
          </cell>
          <cell r="S347" t="str">
            <v>Соответствует</v>
          </cell>
          <cell r="T347">
            <v>9406486</v>
          </cell>
          <cell r="U347" t="e">
            <v>#DIV/0!</v>
          </cell>
          <cell r="V347">
            <v>1.0303490365598911</v>
          </cell>
          <cell r="W347" t="str">
            <v>Соответствует</v>
          </cell>
          <cell r="X347">
            <v>0</v>
          </cell>
          <cell r="Y347">
            <v>0</v>
          </cell>
          <cell r="Z347" t="str">
            <v/>
          </cell>
          <cell r="AA347" t="str">
            <v/>
          </cell>
          <cell r="AB347" t="e">
            <v>#VALUE!</v>
          </cell>
          <cell r="AC347" t="str">
            <v>Не рассчитывалась</v>
          </cell>
          <cell r="AD347">
            <v>9319209</v>
          </cell>
          <cell r="AE347">
            <v>6387.3947909527069</v>
          </cell>
          <cell r="AF347">
            <v>1.0207890613615185</v>
          </cell>
          <cell r="AG347">
            <v>0</v>
          </cell>
          <cell r="AH347">
            <v>0</v>
          </cell>
          <cell r="AI347">
            <v>0</v>
          </cell>
          <cell r="AJ347" t="str">
            <v>Фото не предоставлено. Проверка по Ко-Инвесту дает сопоставимые значения стоимости, рассчитанной по сроку службы.</v>
          </cell>
          <cell r="AL347">
            <v>9406486</v>
          </cell>
          <cell r="AM347" t="str">
            <v>По сроку службы</v>
          </cell>
        </row>
        <row r="348">
          <cell r="A348">
            <v>271</v>
          </cell>
          <cell r="B348" t="str">
            <v>Ц00004402</v>
          </cell>
          <cell r="C348" t="str">
            <v>Навозохранилище №2 МТФ№1 Об. 4856,79 куб.м. (КС)</v>
          </cell>
          <cell r="D348">
            <v>42150</v>
          </cell>
          <cell r="E348">
            <v>41935</v>
          </cell>
          <cell r="F348">
            <v>5752576.5499999998</v>
          </cell>
          <cell r="G348">
            <v>1.0055850701539299</v>
          </cell>
          <cell r="H348">
            <v>5784705.0935976021</v>
          </cell>
          <cell r="I348">
            <v>1.189041095890411</v>
          </cell>
          <cell r="J348" t="str">
            <v>бетонное</v>
          </cell>
          <cell r="K348" t="str">
            <v>КС-10</v>
          </cell>
          <cell r="L348">
            <v>40</v>
          </cell>
          <cell r="M348">
            <v>2.9726027397260275E-2</v>
          </cell>
          <cell r="N348">
            <v>0</v>
          </cell>
          <cell r="O348">
            <v>0</v>
          </cell>
          <cell r="P348">
            <v>2.9726027397260268E-2</v>
          </cell>
          <cell r="Q348">
            <v>5530101.2199999997</v>
          </cell>
          <cell r="R348">
            <v>6909.1719390304843</v>
          </cell>
          <cell r="S348" t="str">
            <v>Соответствует</v>
          </cell>
          <cell r="T348">
            <v>5612749</v>
          </cell>
          <cell r="U348">
            <v>7012.4300349825089</v>
          </cell>
          <cell r="V348">
            <v>1.0149450754537908</v>
          </cell>
          <cell r="W348" t="str">
            <v>Соответствует</v>
          </cell>
          <cell r="X348">
            <v>0</v>
          </cell>
          <cell r="Y348">
            <v>0</v>
          </cell>
          <cell r="Z348" t="str">
            <v/>
          </cell>
          <cell r="AA348" t="str">
            <v/>
          </cell>
          <cell r="AB348" t="e">
            <v>#VALUE!</v>
          </cell>
          <cell r="AC348" t="str">
            <v>Не рассчитывалась</v>
          </cell>
          <cell r="AD348">
            <v>7480942</v>
          </cell>
          <cell r="AE348">
            <v>9346.5042478760624</v>
          </cell>
          <cell r="AF348">
            <v>1.3527676442783085</v>
          </cell>
          <cell r="AG348">
            <v>800.4</v>
          </cell>
          <cell r="AH348">
            <v>0</v>
          </cell>
          <cell r="AI348">
            <v>0</v>
          </cell>
          <cell r="AJ348" t="str">
            <v>Фото не предоставлено. Проверка по Ко-Инвесту дает сопоставимые значения стоимости, рассчитанной по сроку службы.</v>
          </cell>
          <cell r="AL348">
            <v>5612749</v>
          </cell>
          <cell r="AM348" t="str">
            <v>По сроку службы</v>
          </cell>
        </row>
        <row r="349">
          <cell r="A349">
            <v>273</v>
          </cell>
          <cell r="B349" t="str">
            <v>Ц00004403</v>
          </cell>
          <cell r="C349" t="str">
            <v>Навозохранилище №3 МТФ№1 Об. 2959,7 куб.м.  (КС)</v>
          </cell>
          <cell r="D349">
            <v>42150</v>
          </cell>
          <cell r="E349">
            <v>42150</v>
          </cell>
          <cell r="F349">
            <v>5752576.5499999998</v>
          </cell>
          <cell r="G349">
            <v>1.0055850701539299</v>
          </cell>
          <cell r="H349">
            <v>5784705.0935976021</v>
          </cell>
          <cell r="I349">
            <v>0.6</v>
          </cell>
          <cell r="J349" t="str">
            <v>бетон</v>
          </cell>
          <cell r="K349" t="str">
            <v>КС-10</v>
          </cell>
          <cell r="L349">
            <v>40</v>
          </cell>
          <cell r="M349">
            <v>1.4999999999999999E-2</v>
          </cell>
          <cell r="N349">
            <v>0</v>
          </cell>
          <cell r="O349">
            <v>0</v>
          </cell>
          <cell r="P349">
            <v>1.5000000000000013E-2</v>
          </cell>
          <cell r="Q349">
            <v>5530101.2199999997</v>
          </cell>
          <cell r="R349" t="e">
            <v>#DIV/0!</v>
          </cell>
          <cell r="S349" t="str">
            <v>Соответствует</v>
          </cell>
          <cell r="T349">
            <v>5697935</v>
          </cell>
          <cell r="U349" t="e">
            <v>#DIV/0!</v>
          </cell>
          <cell r="V349">
            <v>1.0303491334648665</v>
          </cell>
          <cell r="W349" t="str">
            <v>Соответствует</v>
          </cell>
          <cell r="X349">
            <v>0</v>
          </cell>
          <cell r="Y349">
            <v>0</v>
          </cell>
          <cell r="Z349" t="str">
            <v/>
          </cell>
          <cell r="AA349" t="str">
            <v/>
          </cell>
          <cell r="AB349" t="e">
            <v>#VALUE!</v>
          </cell>
          <cell r="AC349" t="str">
            <v>Не рассчитывалась</v>
          </cell>
          <cell r="AD349">
            <v>4627612</v>
          </cell>
          <cell r="AE349">
            <v>6253.5297297297293</v>
          </cell>
          <cell r="AF349">
            <v>0.83680421314241338</v>
          </cell>
          <cell r="AG349">
            <v>0</v>
          </cell>
          <cell r="AH349">
            <v>0</v>
          </cell>
          <cell r="AI349">
            <v>0</v>
          </cell>
          <cell r="AJ349" t="str">
            <v>Фото не предоставлено. Проверка по Ко-Инвесту дает сопоставимые значения стоимости, рассчитанной по сроку службы.</v>
          </cell>
          <cell r="AL349">
            <v>5697935</v>
          </cell>
          <cell r="AM349" t="str">
            <v>По сроку службы</v>
          </cell>
        </row>
        <row r="350">
          <cell r="A350">
            <v>275</v>
          </cell>
          <cell r="B350" t="str">
            <v>Ц00004404</v>
          </cell>
          <cell r="C350" t="str">
            <v>Навозохранилище №4 МТФ№1 Об. 4607,72 куб.м.  (КС)</v>
          </cell>
          <cell r="D350">
            <v>42150</v>
          </cell>
          <cell r="E350">
            <v>42150</v>
          </cell>
          <cell r="F350">
            <v>5752576.5499999998</v>
          </cell>
          <cell r="G350">
            <v>1.0055850701539299</v>
          </cell>
          <cell r="H350">
            <v>5784705.0935976021</v>
          </cell>
          <cell r="I350">
            <v>0.6</v>
          </cell>
          <cell r="J350" t="str">
            <v>бетонное</v>
          </cell>
          <cell r="K350" t="str">
            <v>КС-10</v>
          </cell>
          <cell r="L350">
            <v>40</v>
          </cell>
          <cell r="M350">
            <v>1.4999999999999999E-2</v>
          </cell>
          <cell r="N350">
            <v>0</v>
          </cell>
          <cell r="O350">
            <v>0</v>
          </cell>
          <cell r="P350">
            <v>1.5000000000000013E-2</v>
          </cell>
          <cell r="Q350">
            <v>5530101.2199999997</v>
          </cell>
          <cell r="R350" t="e">
            <v>#DIV/0!</v>
          </cell>
          <cell r="S350" t="str">
            <v>Соответствует</v>
          </cell>
          <cell r="T350">
            <v>5697935</v>
          </cell>
          <cell r="U350" t="e">
            <v>#DIV/0!</v>
          </cell>
          <cell r="V350">
            <v>1.0303491334648665</v>
          </cell>
          <cell r="W350" t="str">
            <v>Соответствует</v>
          </cell>
          <cell r="X350">
            <v>0</v>
          </cell>
          <cell r="Y350">
            <v>0</v>
          </cell>
          <cell r="Z350" t="str">
            <v/>
          </cell>
          <cell r="AA350" t="str">
            <v/>
          </cell>
          <cell r="AB350" t="e">
            <v>#VALUE!</v>
          </cell>
          <cell r="AC350" t="str">
            <v>Не рассчитывалась</v>
          </cell>
          <cell r="AD350">
            <v>7204625</v>
          </cell>
          <cell r="AE350">
            <v>6254.0147569444443</v>
          </cell>
          <cell r="AF350">
            <v>1.30280165106996</v>
          </cell>
          <cell r="AG350">
            <v>0</v>
          </cell>
          <cell r="AH350">
            <v>0</v>
          </cell>
          <cell r="AI350">
            <v>0</v>
          </cell>
          <cell r="AJ350" t="str">
            <v>Фото не предоставлено. Проверка по Ко-Инвесту дает сопоставимые значения стоимости, рассчитанной по сроку службы.</v>
          </cell>
          <cell r="AL350">
            <v>5697935</v>
          </cell>
          <cell r="AM350" t="str">
            <v>По сроку службы</v>
          </cell>
        </row>
        <row r="351">
          <cell r="A351">
            <v>281</v>
          </cell>
          <cell r="B351" t="str">
            <v>Р00009593</v>
          </cell>
          <cell r="C351" t="str">
            <v>Навозохранилище(3) МТФ№3 Об 7200 куб.м.   Кад№ 23:11:0702000:850</v>
          </cell>
          <cell r="D351">
            <v>41003</v>
          </cell>
          <cell r="E351">
            <v>41003</v>
          </cell>
          <cell r="F351">
            <v>3708521.83</v>
          </cell>
          <cell r="G351">
            <v>1.1736089030206676</v>
          </cell>
          <cell r="H351">
            <v>4352354.2367344983</v>
          </cell>
          <cell r="I351">
            <v>3.7424657534246575</v>
          </cell>
          <cell r="J351" t="str">
            <v>железо-бетон</v>
          </cell>
          <cell r="K351" t="str">
            <v>КС-10</v>
          </cell>
          <cell r="L351">
            <v>40</v>
          </cell>
          <cell r="M351">
            <v>9.3561643835616437E-2</v>
          </cell>
          <cell r="N351">
            <v>0</v>
          </cell>
          <cell r="O351">
            <v>0</v>
          </cell>
          <cell r="P351">
            <v>9.3561643835616382E-2</v>
          </cell>
          <cell r="Q351">
            <v>2807002.75</v>
          </cell>
          <cell r="R351" t="e">
            <v>#VALUE!</v>
          </cell>
          <cell r="S351" t="str">
            <v>Соответствует</v>
          </cell>
          <cell r="T351">
            <v>3945141</v>
          </cell>
          <cell r="U351" t="e">
            <v>#VALUE!</v>
          </cell>
          <cell r="V351">
            <v>1.4054638884838997</v>
          </cell>
          <cell r="W351" t="str">
            <v>Соответствует</v>
          </cell>
          <cell r="X351">
            <v>0</v>
          </cell>
          <cell r="Y351">
            <v>0</v>
          </cell>
          <cell r="Z351" t="str">
            <v/>
          </cell>
          <cell r="AA351" t="str">
            <v/>
          </cell>
          <cell r="AB351" t="e">
            <v>#VALUE!</v>
          </cell>
          <cell r="AC351" t="str">
            <v>Не рассчитывалась</v>
          </cell>
          <cell r="AD351">
            <v>13053721</v>
          </cell>
          <cell r="AE351">
            <v>7252.067222222222</v>
          </cell>
          <cell r="AF351">
            <v>4.6504126153777374</v>
          </cell>
          <cell r="AG351" t="str">
            <v>7200  куб.м.</v>
          </cell>
          <cell r="AH351">
            <v>0</v>
          </cell>
          <cell r="AI351">
            <v>0</v>
          </cell>
          <cell r="AJ351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351">
            <v>3945141</v>
          </cell>
          <cell r="AM351" t="str">
            <v>По сроку службы</v>
          </cell>
        </row>
        <row r="352">
          <cell r="A352">
            <v>284</v>
          </cell>
          <cell r="B352" t="str">
            <v>Ц00002379</v>
          </cell>
          <cell r="C352" t="str">
            <v>Нежилое здание Об.пл. 1197кв.м. (Силосохранилище №2) Кад№ 23:24:0701000:797 Литер С (НП  МТФ№2)</v>
          </cell>
          <cell r="D352">
            <v>41935</v>
          </cell>
          <cell r="E352">
            <v>41935</v>
          </cell>
          <cell r="F352">
            <v>5203865.12</v>
          </cell>
          <cell r="G352">
            <v>0.98663458968190321</v>
          </cell>
          <cell r="H352">
            <v>5134313.3274311684</v>
          </cell>
          <cell r="I352">
            <v>1.189041095890411</v>
          </cell>
          <cell r="J352" t="str">
            <v>бетонное</v>
          </cell>
          <cell r="K352" t="str">
            <v>КС-10</v>
          </cell>
          <cell r="L352">
            <v>45</v>
          </cell>
          <cell r="M352">
            <v>2.6423135464231355E-2</v>
          </cell>
          <cell r="N352">
            <v>0</v>
          </cell>
          <cell r="O352">
            <v>0</v>
          </cell>
          <cell r="P352">
            <v>2.6423135464231362E-2</v>
          </cell>
          <cell r="Q352">
            <v>4801356.16</v>
          </cell>
          <cell r="R352">
            <v>4011.1580284043443</v>
          </cell>
          <cell r="S352" t="str">
            <v>Соответствует</v>
          </cell>
          <cell r="T352">
            <v>4998649</v>
          </cell>
          <cell r="U352">
            <v>4175.980785296575</v>
          </cell>
          <cell r="V352">
            <v>1.0410910654043211</v>
          </cell>
          <cell r="W352" t="str">
            <v>Соответствует</v>
          </cell>
          <cell r="X352">
            <v>0</v>
          </cell>
          <cell r="Y352">
            <v>0</v>
          </cell>
          <cell r="Z352" t="str">
            <v/>
          </cell>
          <cell r="AA352" t="str">
            <v/>
          </cell>
          <cell r="AB352" t="e">
            <v>#VALUE!</v>
          </cell>
          <cell r="AC352" t="str">
            <v>Не рассчитывалась</v>
          </cell>
          <cell r="AD352">
            <v>38676995</v>
          </cell>
          <cell r="AE352">
            <v>32311.608187134501</v>
          </cell>
          <cell r="AF352">
            <v>8.0554313637920156</v>
          </cell>
          <cell r="AG352">
            <v>1197</v>
          </cell>
          <cell r="AH352">
            <v>0</v>
          </cell>
          <cell r="AI352">
            <v>0</v>
          </cell>
          <cell r="AJ352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352">
            <v>4998649</v>
          </cell>
          <cell r="AM352" t="str">
            <v>По сроку службы</v>
          </cell>
        </row>
        <row r="353">
          <cell r="A353">
            <v>292</v>
          </cell>
          <cell r="B353" t="str">
            <v>Ц00002382</v>
          </cell>
          <cell r="C353" t="str">
            <v>Ограждение, протяженность 391м. Кад№ 23:24:0701000:815 Литер XXXIII (НП  МТФ№2)</v>
          </cell>
          <cell r="D353">
            <v>41935</v>
          </cell>
          <cell r="E353">
            <v>41633</v>
          </cell>
          <cell r="F353">
            <v>2538117.8199999998</v>
          </cell>
          <cell r="G353">
            <v>0.98663458968190321</v>
          </cell>
          <cell r="H353">
            <v>2504194.8339000265</v>
          </cell>
          <cell r="I353">
            <v>2.0164383561643837</v>
          </cell>
          <cell r="J353" t="str">
            <v>железобетон</v>
          </cell>
          <cell r="K353" t="str">
            <v>КС-10</v>
          </cell>
          <cell r="L353">
            <v>30</v>
          </cell>
          <cell r="M353">
            <v>6.7214611872146127E-2</v>
          </cell>
          <cell r="N353">
            <v>0</v>
          </cell>
          <cell r="O353">
            <v>0</v>
          </cell>
          <cell r="P353">
            <v>6.7214611872146168E-2</v>
          </cell>
          <cell r="Q353">
            <v>2390675.2799999998</v>
          </cell>
          <cell r="R353" t="e">
            <v>#VALUE!</v>
          </cell>
          <cell r="S353" t="str">
            <v>Соответствует</v>
          </cell>
          <cell r="T353">
            <v>2335876</v>
          </cell>
          <cell r="U353" t="e">
            <v>#VALUE!</v>
          </cell>
          <cell r="V353">
            <v>0.97707790746052314</v>
          </cell>
          <cell r="W353" t="str">
            <v>Соответствует</v>
          </cell>
          <cell r="X353" t="str">
            <v>отличное</v>
          </cell>
          <cell r="Y353">
            <v>0.1</v>
          </cell>
          <cell r="Z353">
            <v>2253775.350510024</v>
          </cell>
          <cell r="AA353" t="e">
            <v>#VALUE!</v>
          </cell>
          <cell r="AB353">
            <v>0.94273587440533713</v>
          </cell>
          <cell r="AC353" t="str">
            <v>Соответствует</v>
          </cell>
          <cell r="AD353">
            <v>2017978</v>
          </cell>
          <cell r="AE353" t="str">
            <v>Не рассчитывалась</v>
          </cell>
          <cell r="AF353">
            <v>0.84410376301711709</v>
          </cell>
          <cell r="AG353" t="str">
            <v>Протяженность 391 м</v>
          </cell>
          <cell r="AH353">
            <v>0</v>
          </cell>
          <cell r="AI353">
            <v>0</v>
          </cell>
          <cell r="AL353">
            <v>2335876</v>
          </cell>
          <cell r="AM353" t="str">
            <v>По сроку службы</v>
          </cell>
        </row>
        <row r="354">
          <cell r="A354">
            <v>293</v>
          </cell>
          <cell r="B354" t="str">
            <v>Ц00002910</v>
          </cell>
          <cell r="C354" t="str">
            <v>Ограждение, протяженность 563м. Кад№ 23:24:0701000:816 Литер XXXII (НП  МТФ№2)</v>
          </cell>
          <cell r="D354">
            <v>41935</v>
          </cell>
          <cell r="E354">
            <v>41935</v>
          </cell>
          <cell r="F354">
            <v>3654630.02</v>
          </cell>
          <cell r="G354">
            <v>0.98663458968190321</v>
          </cell>
          <cell r="H354">
            <v>3605784.3902218658</v>
          </cell>
          <cell r="I354">
            <v>1.189041095890411</v>
          </cell>
          <cell r="J354" t="str">
            <v>железобетон</v>
          </cell>
          <cell r="K354" t="str">
            <v>КС-10</v>
          </cell>
          <cell r="L354">
            <v>30</v>
          </cell>
          <cell r="M354">
            <v>3.9634703196347029E-2</v>
          </cell>
          <cell r="N354">
            <v>0</v>
          </cell>
          <cell r="O354">
            <v>0</v>
          </cell>
          <cell r="P354">
            <v>3.9634703196346988E-2</v>
          </cell>
          <cell r="Q354">
            <v>3442327.86</v>
          </cell>
          <cell r="R354" t="e">
            <v>#VALUE!</v>
          </cell>
          <cell r="S354" t="str">
            <v>Соответствует</v>
          </cell>
          <cell r="T354">
            <v>3462870</v>
          </cell>
          <cell r="U354" t="e">
            <v>#VALUE!</v>
          </cell>
          <cell r="V354">
            <v>1.0059675140879811</v>
          </cell>
          <cell r="W354" t="str">
            <v>Соответствует</v>
          </cell>
          <cell r="X354" t="str">
            <v>отличное</v>
          </cell>
          <cell r="Y354">
            <v>0.1</v>
          </cell>
          <cell r="Z354">
            <v>3245205.9511996792</v>
          </cell>
          <cell r="AA354" t="e">
            <v>#VALUE!</v>
          </cell>
          <cell r="AB354">
            <v>0.94273587037106898</v>
          </cell>
          <cell r="AC354" t="str">
            <v>Соответствует</v>
          </cell>
          <cell r="AD354">
            <v>2077644</v>
          </cell>
          <cell r="AE354" t="str">
            <v>Не рассчитывалась</v>
          </cell>
          <cell r="AF354">
            <v>0.60355784936766599</v>
          </cell>
          <cell r="AG354" t="str">
            <v>Протяженность 563 м</v>
          </cell>
          <cell r="AH354">
            <v>0</v>
          </cell>
          <cell r="AI354">
            <v>0</v>
          </cell>
          <cell r="AL354">
            <v>3462870</v>
          </cell>
          <cell r="AM354" t="str">
            <v>По сроку службы</v>
          </cell>
        </row>
        <row r="355">
          <cell r="A355">
            <v>302</v>
          </cell>
          <cell r="B355" t="str">
            <v>Р00008629</v>
          </cell>
          <cell r="C355" t="str">
            <v>Площадка для сбора навоза (Навозохранилище(2)) МТФ№3 литер IX Об.10800 куб.м  Кад №23:11:0702000:851</v>
          </cell>
          <cell r="D355">
            <v>40816</v>
          </cell>
          <cell r="E355">
            <v>40816</v>
          </cell>
          <cell r="F355">
            <v>9296610.1699999999</v>
          </cell>
          <cell r="G355">
            <v>1.4002276176024278</v>
          </cell>
          <cell r="H355">
            <v>13017370.3101176</v>
          </cell>
          <cell r="I355">
            <v>4.2547945205479456</v>
          </cell>
          <cell r="J355" t="str">
            <v>железобетон</v>
          </cell>
          <cell r="K355" t="str">
            <v>КС-8</v>
          </cell>
          <cell r="L355">
            <v>20</v>
          </cell>
          <cell r="M355">
            <v>0.21273972602739727</v>
          </cell>
          <cell r="N355">
            <v>0</v>
          </cell>
          <cell r="O355">
            <v>0</v>
          </cell>
          <cell r="P355">
            <v>0.21273972602739732</v>
          </cell>
          <cell r="Q355">
            <v>6677123.1799999997</v>
          </cell>
          <cell r="R355" t="e">
            <v>#VALUE!</v>
          </cell>
          <cell r="S355">
            <v>0</v>
          </cell>
          <cell r="T355">
            <v>10248059</v>
          </cell>
          <cell r="U355" t="e">
            <v>#VALUE!</v>
          </cell>
          <cell r="V355">
            <v>1.5348015490707183</v>
          </cell>
          <cell r="W355" t="str">
            <v>Не соответствует</v>
          </cell>
          <cell r="X355">
            <v>0</v>
          </cell>
          <cell r="Y355">
            <v>0</v>
          </cell>
          <cell r="Z355" t="str">
            <v/>
          </cell>
          <cell r="AA355" t="str">
            <v/>
          </cell>
          <cell r="AB355" t="e">
            <v>#VALUE!</v>
          </cell>
          <cell r="AC355" t="str">
            <v>Не рассчитывалась</v>
          </cell>
          <cell r="AD355">
            <v>6194201</v>
          </cell>
          <cell r="AE355">
            <v>2867.6856481481482</v>
          </cell>
          <cell r="AF355">
            <v>0.92767511292190963</v>
          </cell>
          <cell r="AG355" t="str">
            <v>объем: 10800 куб.м.</v>
          </cell>
          <cell r="AH355">
            <v>0</v>
          </cell>
          <cell r="AI355">
            <v>0</v>
          </cell>
          <cell r="AJ355" t="str">
            <v>Фото не предоставлено. Рачсет по Ко-Инвесту.</v>
          </cell>
          <cell r="AL355">
            <v>6194201</v>
          </cell>
          <cell r="AM355" t="str">
            <v>Ко-Инвест</v>
          </cell>
        </row>
        <row r="356">
          <cell r="A356">
            <v>349</v>
          </cell>
          <cell r="B356" t="str">
            <v>Ц00004421</v>
          </cell>
          <cell r="C356" t="str">
            <v>Силосохранилище №3 МТФ №2 (НП)</v>
          </cell>
          <cell r="D356">
            <v>42122</v>
          </cell>
          <cell r="E356">
            <v>42122</v>
          </cell>
          <cell r="F356">
            <v>5272523.1100000003</v>
          </cell>
          <cell r="G356">
            <v>1.0055850701539299</v>
          </cell>
          <cell r="H356">
            <v>5301970.5214575669</v>
          </cell>
          <cell r="I356">
            <v>0.67671232876712328</v>
          </cell>
          <cell r="J356" t="str">
            <v>Бетон</v>
          </cell>
          <cell r="K356" t="str">
            <v>КС-10</v>
          </cell>
          <cell r="L356">
            <v>45</v>
          </cell>
          <cell r="M356">
            <v>1.5038051750380517E-2</v>
          </cell>
          <cell r="N356">
            <v>0</v>
          </cell>
          <cell r="O356">
            <v>0</v>
          </cell>
          <cell r="P356">
            <v>1.5038051750380532E-2</v>
          </cell>
          <cell r="Q356">
            <v>5039483.4300000006</v>
          </cell>
          <cell r="R356">
            <v>3746.8278289962832</v>
          </cell>
          <cell r="S356">
            <v>0</v>
          </cell>
          <cell r="T356">
            <v>5222239</v>
          </cell>
          <cell r="U356">
            <v>3882.7055762081786</v>
          </cell>
          <cell r="V356">
            <v>1.0362647427139173</v>
          </cell>
          <cell r="W356" t="str">
            <v>Соответствует</v>
          </cell>
          <cell r="X356">
            <v>0</v>
          </cell>
          <cell r="Y356">
            <v>0</v>
          </cell>
          <cell r="Z356" t="str">
            <v/>
          </cell>
          <cell r="AA356" t="str">
            <v/>
          </cell>
          <cell r="AB356" t="e">
            <v>#VALUE!</v>
          </cell>
          <cell r="AC356" t="str">
            <v>Не рассчитывалась</v>
          </cell>
          <cell r="AD356">
            <v>43968487</v>
          </cell>
          <cell r="AE356">
            <v>32690.324907063197</v>
          </cell>
          <cell r="AF356">
            <v>8.7248003909003806</v>
          </cell>
          <cell r="AG356">
            <v>1345</v>
          </cell>
          <cell r="AH356">
            <v>0</v>
          </cell>
          <cell r="AI356">
            <v>0</v>
          </cell>
          <cell r="AJ356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356">
            <v>5222239</v>
          </cell>
          <cell r="AM356" t="str">
            <v>По сроку службы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одник"/>
      <sheetName val="---Здания (ПВС)"/>
      <sheetName val="----Сооруж(ПВС)"/>
      <sheetName val="---Ст-ть зд_и_соор"/>
      <sheetName val="Список рыночная"/>
      <sheetName val="ИнвестицииСвод"/>
      <sheetName val="УПСС "/>
    </sheetNames>
    <sheetDataSet>
      <sheetData sheetId="0">
        <row r="2">
          <cell r="A2" t="str">
            <v>код</v>
          </cell>
          <cell r="B2" t="str">
            <v>Инв. номер</v>
          </cell>
          <cell r="C2" t="str">
            <v>Наименование</v>
          </cell>
          <cell r="D2" t="str">
            <v>Марка</v>
          </cell>
          <cell r="F2" t="str">
            <v>Год ввода</v>
          </cell>
          <cell r="G2" t="str">
            <v>Восстановительная балансовая стоимость на 01.01.2001г.</v>
          </cell>
          <cell r="H2" t="str">
            <v>Остаточная балансовая стоимость на 01.01.2001г.</v>
          </cell>
          <cell r="I2" t="str">
            <v>Характеристика</v>
          </cell>
          <cell r="J2" t="str">
            <v>Шифр амортизации</v>
          </cell>
        </row>
        <row r="3">
          <cell r="A3">
            <v>1</v>
          </cell>
          <cell r="B3">
            <v>11210</v>
          </cell>
          <cell r="C3" t="str">
            <v>Камеры (10 шт)</v>
          </cell>
          <cell r="D3" t="str">
            <v>КСО-272</v>
          </cell>
          <cell r="E3" t="str">
            <v>ЦРП-14</v>
          </cell>
          <cell r="F3">
            <v>1981</v>
          </cell>
          <cell r="G3">
            <v>307058.17</v>
          </cell>
          <cell r="H3">
            <v>57115.35</v>
          </cell>
          <cell r="I3" t="str">
            <v>Длина 10000 мм; ширина 1000 мм; высота 2800 мм; вес 8,0 т</v>
          </cell>
        </row>
        <row r="4">
          <cell r="A4">
            <v>2</v>
          </cell>
          <cell r="B4">
            <v>11261</v>
          </cell>
          <cell r="C4" t="str">
            <v>Ячейка силов. тр-р №1</v>
          </cell>
          <cell r="E4" t="str">
            <v>ЦРП-14</v>
          </cell>
          <cell r="F4">
            <v>1957</v>
          </cell>
          <cell r="G4">
            <v>25546.9</v>
          </cell>
          <cell r="H4">
            <v>0</v>
          </cell>
          <cell r="I4" t="str">
            <v>?</v>
          </cell>
        </row>
        <row r="5">
          <cell r="A5">
            <v>3</v>
          </cell>
          <cell r="B5">
            <v>11262</v>
          </cell>
          <cell r="C5" t="str">
            <v>Ячейка силов. тр-р</v>
          </cell>
          <cell r="E5" t="str">
            <v>ЦРП-14</v>
          </cell>
          <cell r="F5">
            <v>1957</v>
          </cell>
          <cell r="G5">
            <v>21275.65</v>
          </cell>
          <cell r="H5">
            <v>0</v>
          </cell>
          <cell r="I5" t="str">
            <v>?</v>
          </cell>
        </row>
        <row r="6">
          <cell r="A6">
            <v>4</v>
          </cell>
          <cell r="B6">
            <v>11264</v>
          </cell>
          <cell r="C6" t="str">
            <v>Ячейка ТЭЦ</v>
          </cell>
          <cell r="D6" t="str">
            <v>КСО-2УМ</v>
          </cell>
          <cell r="E6" t="str">
            <v>ЦРП-14</v>
          </cell>
          <cell r="F6">
            <v>1957</v>
          </cell>
          <cell r="G6">
            <v>21275.65</v>
          </cell>
          <cell r="H6">
            <v>0</v>
          </cell>
          <cell r="I6" t="str">
            <v>Длина 1200 мм; ширина 1200 мм; высота 3100 мм; вес 0,9 т</v>
          </cell>
        </row>
        <row r="7">
          <cell r="A7">
            <v>5</v>
          </cell>
          <cell r="B7">
            <v>11265</v>
          </cell>
          <cell r="C7" t="str">
            <v>Ячейка тр-р напряж</v>
          </cell>
          <cell r="D7" t="str">
            <v>КСО-2УМ</v>
          </cell>
          <cell r="E7" t="str">
            <v>ЦРП-14</v>
          </cell>
          <cell r="F7">
            <v>1957</v>
          </cell>
          <cell r="G7">
            <v>12185.15</v>
          </cell>
          <cell r="H7">
            <v>0</v>
          </cell>
          <cell r="I7" t="str">
            <v>Длина 1200 мм; ширина 1200 мм; высота 3100 мм; вес 0,9 т</v>
          </cell>
        </row>
        <row r="8">
          <cell r="A8">
            <v>6</v>
          </cell>
          <cell r="B8">
            <v>11266</v>
          </cell>
          <cell r="C8" t="str">
            <v>Ячейка сил. тр-р №2</v>
          </cell>
          <cell r="D8" t="str">
            <v>КСО-2УМ</v>
          </cell>
          <cell r="E8" t="str">
            <v>ЦРП-14</v>
          </cell>
          <cell r="F8">
            <v>1957</v>
          </cell>
          <cell r="G8">
            <v>21275.65</v>
          </cell>
          <cell r="H8">
            <v>0</v>
          </cell>
          <cell r="I8" t="str">
            <v>Длина 1200 мм; ширина 1200 мм; высота 3100 мм; вес 0,9 т</v>
          </cell>
        </row>
        <row r="9">
          <cell r="A9">
            <v>7</v>
          </cell>
          <cell r="B9">
            <v>11267</v>
          </cell>
          <cell r="C9" t="str">
            <v>Ячейка тр-р напряж</v>
          </cell>
          <cell r="E9" t="str">
            <v>ЦРП-14</v>
          </cell>
          <cell r="F9">
            <v>1957</v>
          </cell>
          <cell r="G9">
            <v>12185.15</v>
          </cell>
          <cell r="H9">
            <v>0</v>
          </cell>
          <cell r="I9" t="str">
            <v>Длина 1200 мм; ширина 1200 мм; высота 3100 мм; вес 0,9 т</v>
          </cell>
        </row>
        <row r="10">
          <cell r="A10">
            <v>8</v>
          </cell>
          <cell r="B10">
            <v>11288</v>
          </cell>
          <cell r="C10" t="str">
            <v>Ячейка ТЭЦ-2 №1</v>
          </cell>
          <cell r="D10" t="str">
            <v>КСО-2УМ</v>
          </cell>
          <cell r="E10" t="str">
            <v>ЦРП-13</v>
          </cell>
          <cell r="F10">
            <v>1965</v>
          </cell>
          <cell r="G10">
            <v>12185.15</v>
          </cell>
          <cell r="H10">
            <v>0</v>
          </cell>
          <cell r="I10" t="str">
            <v>Длина 1200 мм; ширина 1200 мм; высота 3100 мм; вес 0,9 т</v>
          </cell>
        </row>
        <row r="11">
          <cell r="A11">
            <v>9</v>
          </cell>
          <cell r="B11">
            <v>11298</v>
          </cell>
          <cell r="C11" t="str">
            <v>Камера</v>
          </cell>
          <cell r="D11" t="str">
            <v>КСО-366-311</v>
          </cell>
          <cell r="E11" t="str">
            <v>ЦРП-13</v>
          </cell>
          <cell r="F11">
            <v>1993</v>
          </cell>
          <cell r="G11">
            <v>13717.2</v>
          </cell>
          <cell r="H11">
            <v>9291.74</v>
          </cell>
          <cell r="I11" t="str">
            <v>Ширина 1000 мм; глубина 1000 мм; высота 2080 мм; вес 0,3 т</v>
          </cell>
        </row>
        <row r="12">
          <cell r="A12">
            <v>10</v>
          </cell>
          <cell r="B12">
            <v>11299</v>
          </cell>
          <cell r="C12" t="str">
            <v>Камера</v>
          </cell>
          <cell r="D12" t="str">
            <v>КСО-366-311</v>
          </cell>
          <cell r="E12" t="str">
            <v>ЦРП-13</v>
          </cell>
          <cell r="F12">
            <v>1993</v>
          </cell>
          <cell r="G12">
            <v>13717.2</v>
          </cell>
          <cell r="H12">
            <v>9291.74</v>
          </cell>
          <cell r="I12" t="str">
            <v>Ширина 1000 мм; глубина 1000 мм; высота 2080 мм; вес 0,3 т</v>
          </cell>
        </row>
        <row r="13">
          <cell r="A13">
            <v>11</v>
          </cell>
          <cell r="B13">
            <v>11302</v>
          </cell>
          <cell r="C13" t="str">
            <v>Ячейка силов. тр-р №3</v>
          </cell>
          <cell r="D13" t="str">
            <v>?</v>
          </cell>
          <cell r="E13" t="str">
            <v>ЦРП-6</v>
          </cell>
          <cell r="F13">
            <v>1962</v>
          </cell>
          <cell r="G13">
            <v>21275.65</v>
          </cell>
          <cell r="H13">
            <v>0</v>
          </cell>
          <cell r="I13" t="str">
            <v>Длина 2700 мм; ширина 1600 мм; высота 4000 мм; вес 0,8 т</v>
          </cell>
        </row>
        <row r="14">
          <cell r="A14">
            <v>12</v>
          </cell>
          <cell r="B14">
            <v>11305</v>
          </cell>
          <cell r="C14" t="str">
            <v>Ячейка силов. тр-р №4</v>
          </cell>
          <cell r="D14" t="str">
            <v>?</v>
          </cell>
          <cell r="E14" t="str">
            <v>ЦРП-6</v>
          </cell>
          <cell r="F14">
            <v>1962</v>
          </cell>
          <cell r="G14">
            <v>21275.65</v>
          </cell>
          <cell r="H14">
            <v>0</v>
          </cell>
          <cell r="I14" t="str">
            <v>Длина 270 мм; ширина 160 мм; высота 400 мм; вес 0,8 т</v>
          </cell>
        </row>
        <row r="15">
          <cell r="A15">
            <v>13</v>
          </cell>
          <cell r="B15">
            <v>11448</v>
          </cell>
          <cell r="C15" t="str">
            <v>Распредщит ПСН</v>
          </cell>
          <cell r="E15" t="str">
            <v>ЦРП-14</v>
          </cell>
          <cell r="F15">
            <v>1969</v>
          </cell>
          <cell r="G15">
            <v>114517.82</v>
          </cell>
          <cell r="H15">
            <v>0</v>
          </cell>
          <cell r="I15" t="str">
            <v>?</v>
          </cell>
        </row>
        <row r="16">
          <cell r="A16">
            <v>14</v>
          </cell>
          <cell r="B16">
            <v>11453</v>
          </cell>
          <cell r="C16" t="str">
            <v>Трансформатор</v>
          </cell>
          <cell r="D16" t="str">
            <v>ТМ-1000/10</v>
          </cell>
          <cell r="E16" t="str">
            <v>ЦРП-14</v>
          </cell>
          <cell r="F16">
            <v>1973</v>
          </cell>
          <cell r="G16">
            <v>38779.72</v>
          </cell>
          <cell r="H16">
            <v>0</v>
          </cell>
          <cell r="I16" t="str">
            <v>Длина 2345 мм; ширина 1415 мм; высота 2620 мм; вес 4,5 т</v>
          </cell>
        </row>
        <row r="17">
          <cell r="A17">
            <v>15</v>
          </cell>
          <cell r="B17">
            <v>11501</v>
          </cell>
          <cell r="C17" t="str">
            <v>Трансформатор</v>
          </cell>
          <cell r="D17" t="str">
            <v>ТМ-630-6/0,4</v>
          </cell>
          <cell r="E17" t="str">
            <v>ТП-41</v>
          </cell>
          <cell r="F17">
            <v>1982</v>
          </cell>
          <cell r="G17">
            <v>38626.400000000001</v>
          </cell>
          <cell r="H17">
            <v>8884.35</v>
          </cell>
          <cell r="I17" t="str">
            <v>Длина 1750 мм; ширина 1185 мм; высота 1925 мм; вес 2,8 т</v>
          </cell>
        </row>
        <row r="18">
          <cell r="A18">
            <v>16</v>
          </cell>
          <cell r="B18">
            <v>11502</v>
          </cell>
          <cell r="C18" t="str">
            <v>Трансформатор</v>
          </cell>
          <cell r="D18" t="str">
            <v>ТМ-630-6/0,4</v>
          </cell>
          <cell r="E18" t="str">
            <v>ЦРП-4</v>
          </cell>
          <cell r="F18">
            <v>1982</v>
          </cell>
          <cell r="G18">
            <v>38626.400000000001</v>
          </cell>
          <cell r="H18">
            <v>8884.35</v>
          </cell>
          <cell r="I18" t="str">
            <v>Длина 1750 мм; ширина 1185 мм; высота 1925 мм; вес 2,8 т</v>
          </cell>
        </row>
        <row r="19">
          <cell r="A19">
            <v>17</v>
          </cell>
          <cell r="B19">
            <v>11513</v>
          </cell>
          <cell r="C19" t="str">
            <v>Ячейка Б</v>
          </cell>
          <cell r="D19" t="str">
            <v>КСО-366</v>
          </cell>
          <cell r="E19" t="str">
            <v>ЦРП-13</v>
          </cell>
          <cell r="F19">
            <v>1971</v>
          </cell>
          <cell r="G19">
            <v>7430.36</v>
          </cell>
          <cell r="H19">
            <v>0</v>
          </cell>
          <cell r="I19" t="str">
            <v>Длина 1000 мм; ширина 1000 мм; высота 2080 мм; вес 0,3 т</v>
          </cell>
        </row>
        <row r="20">
          <cell r="A20">
            <v>18</v>
          </cell>
          <cell r="B20">
            <v>11522</v>
          </cell>
          <cell r="C20" t="str">
            <v>Трансформатор</v>
          </cell>
          <cell r="D20" t="str">
            <v>ТМ-750/6</v>
          </cell>
          <cell r="E20" t="str">
            <v>ТП-45</v>
          </cell>
          <cell r="F20">
            <v>1957</v>
          </cell>
          <cell r="G20">
            <v>67372.91</v>
          </cell>
          <cell r="H20">
            <v>0</v>
          </cell>
          <cell r="I20" t="str">
            <v>Длина 2555 мм; ширина 1480 мм; высота 2200 мм; вес 4,0 т</v>
          </cell>
        </row>
        <row r="21">
          <cell r="A21">
            <v>19</v>
          </cell>
          <cell r="B21">
            <v>11543</v>
          </cell>
          <cell r="C21" t="str">
            <v>Трансформатор</v>
          </cell>
          <cell r="D21" t="str">
            <v>ТМ-560/6</v>
          </cell>
          <cell r="E21" t="str">
            <v>ТП-10</v>
          </cell>
          <cell r="F21">
            <v>1957</v>
          </cell>
          <cell r="G21">
            <v>51899.7</v>
          </cell>
          <cell r="H21">
            <v>0</v>
          </cell>
          <cell r="I21" t="str">
            <v>Длина 2270 мм; ширина 1375 мм; высота 2210 мм; вес 3,0 т</v>
          </cell>
        </row>
        <row r="22">
          <cell r="A22">
            <v>20</v>
          </cell>
          <cell r="B22">
            <v>11565</v>
          </cell>
          <cell r="C22" t="str">
            <v>Выключатель масл.</v>
          </cell>
          <cell r="D22" t="str">
            <v>ВМП-10</v>
          </cell>
          <cell r="E22" t="str">
            <v>ЦРП-13</v>
          </cell>
          <cell r="F22">
            <v>1982</v>
          </cell>
          <cell r="G22">
            <v>11030.95</v>
          </cell>
          <cell r="H22">
            <v>3586.4</v>
          </cell>
        </row>
        <row r="23">
          <cell r="A23">
            <v>21</v>
          </cell>
          <cell r="B23">
            <v>11566</v>
          </cell>
          <cell r="C23" t="str">
            <v>Выключатель масл.</v>
          </cell>
          <cell r="D23" t="str">
            <v>ВМП-10</v>
          </cell>
          <cell r="E23" t="str">
            <v>ГРП-13</v>
          </cell>
          <cell r="F23">
            <v>1982</v>
          </cell>
          <cell r="G23">
            <v>11030.95</v>
          </cell>
          <cell r="H23">
            <v>3586.4</v>
          </cell>
        </row>
        <row r="24">
          <cell r="A24">
            <v>22</v>
          </cell>
          <cell r="B24">
            <v>11572</v>
          </cell>
          <cell r="C24" t="str">
            <v>Конденсаторная установка</v>
          </cell>
          <cell r="D24" t="str">
            <v>?</v>
          </cell>
          <cell r="E24" t="str">
            <v>ЦРП-4</v>
          </cell>
          <cell r="F24">
            <v>1974</v>
          </cell>
          <cell r="G24">
            <v>11262.98</v>
          </cell>
          <cell r="H24">
            <v>0</v>
          </cell>
          <cell r="I24" t="str">
            <v>?</v>
          </cell>
        </row>
        <row r="25">
          <cell r="A25">
            <v>23</v>
          </cell>
          <cell r="B25">
            <v>11589</v>
          </cell>
          <cell r="C25" t="str">
            <v>Панель</v>
          </cell>
          <cell r="D25" t="str">
            <v>КРУ-5429</v>
          </cell>
          <cell r="E25" t="str">
            <v>ЦРП-12</v>
          </cell>
          <cell r="F25">
            <v>1974</v>
          </cell>
          <cell r="G25">
            <v>92968.16</v>
          </cell>
          <cell r="H25">
            <v>0</v>
          </cell>
        </row>
        <row r="26">
          <cell r="A26">
            <v>24</v>
          </cell>
          <cell r="B26">
            <v>11593</v>
          </cell>
          <cell r="C26" t="str">
            <v>Трансформатор</v>
          </cell>
          <cell r="D26" t="str">
            <v>ТМ-560/6</v>
          </cell>
          <cell r="E26" t="str">
            <v>ТП-10</v>
          </cell>
          <cell r="F26">
            <v>1959</v>
          </cell>
          <cell r="G26">
            <v>51899.7</v>
          </cell>
          <cell r="H26">
            <v>0</v>
          </cell>
          <cell r="I26" t="str">
            <v>Длина 2270 мм; ширина 1375 мм; высота 2210 мм; вес 3,0 т</v>
          </cell>
        </row>
        <row r="27">
          <cell r="A27">
            <v>25</v>
          </cell>
          <cell r="B27">
            <v>11607</v>
          </cell>
          <cell r="C27" t="str">
            <v>Трансформатор</v>
          </cell>
          <cell r="D27" t="str">
            <v>ТМ-1000/10</v>
          </cell>
          <cell r="E27" t="str">
            <v>?</v>
          </cell>
          <cell r="F27">
            <v>1975</v>
          </cell>
          <cell r="G27">
            <v>39263.25</v>
          </cell>
          <cell r="H27">
            <v>0</v>
          </cell>
          <cell r="I27" t="str">
            <v>Длина 2345 мм; ширина 1415 мм; высота 2620 мм; вес 4,5 т</v>
          </cell>
        </row>
        <row r="28">
          <cell r="A28">
            <v>26</v>
          </cell>
          <cell r="B28">
            <v>11610</v>
          </cell>
          <cell r="C28" t="str">
            <v>Трансформатор</v>
          </cell>
          <cell r="D28" t="str">
            <v>ТМ-630-6</v>
          </cell>
          <cell r="E28" t="str">
            <v>?</v>
          </cell>
          <cell r="F28">
            <v>1975</v>
          </cell>
          <cell r="G28">
            <v>7059.65</v>
          </cell>
          <cell r="H28">
            <v>0</v>
          </cell>
          <cell r="I28" t="str">
            <v>Длина 1750 мм; ширина 1185 мм; высота 1925 мм; вес 3,0 т</v>
          </cell>
        </row>
        <row r="29">
          <cell r="A29">
            <v>27</v>
          </cell>
          <cell r="B29">
            <v>11619</v>
          </cell>
          <cell r="C29" t="str">
            <v>Силов. шкаф</v>
          </cell>
          <cell r="D29" t="str">
            <v>КВУ-66</v>
          </cell>
          <cell r="E29" t="str">
            <v>ГРП-7</v>
          </cell>
          <cell r="F29">
            <v>1976</v>
          </cell>
          <cell r="G29">
            <v>6850.12</v>
          </cell>
          <cell r="H29">
            <v>0</v>
          </cell>
        </row>
        <row r="30">
          <cell r="A30">
            <v>28</v>
          </cell>
          <cell r="B30">
            <v>11622</v>
          </cell>
          <cell r="C30" t="str">
            <v>Распредщит ПСН-8105</v>
          </cell>
          <cell r="E30" t="str">
            <v>ГРП-6</v>
          </cell>
          <cell r="F30">
            <v>1976</v>
          </cell>
          <cell r="G30">
            <v>291057.40000000002</v>
          </cell>
          <cell r="H30">
            <v>0</v>
          </cell>
        </row>
        <row r="31">
          <cell r="A31">
            <v>29</v>
          </cell>
          <cell r="B31">
            <v>11636</v>
          </cell>
          <cell r="C31" t="str">
            <v>Щит панельный ПСН</v>
          </cell>
          <cell r="E31" t="str">
            <v>ГРП-6</v>
          </cell>
          <cell r="F31">
            <v>1976</v>
          </cell>
          <cell r="G31">
            <v>8429.67</v>
          </cell>
          <cell r="H31">
            <v>0</v>
          </cell>
        </row>
        <row r="32">
          <cell r="A32">
            <v>30</v>
          </cell>
          <cell r="B32">
            <v>11638</v>
          </cell>
          <cell r="C32" t="str">
            <v>Щит панельный ПСН</v>
          </cell>
          <cell r="E32" t="str">
            <v>ГРП-6</v>
          </cell>
          <cell r="F32">
            <v>1976</v>
          </cell>
          <cell r="G32">
            <v>8445.7900000000009</v>
          </cell>
          <cell r="H32">
            <v>0</v>
          </cell>
        </row>
        <row r="33">
          <cell r="A33">
            <v>31</v>
          </cell>
          <cell r="B33">
            <v>11639</v>
          </cell>
          <cell r="C33" t="str">
            <v>Трансформатор</v>
          </cell>
          <cell r="D33" t="str">
            <v>ТМ-1000/10</v>
          </cell>
          <cell r="E33" t="str">
            <v>ЦРП-12</v>
          </cell>
          <cell r="F33">
            <v>1976</v>
          </cell>
          <cell r="G33">
            <v>40697.75</v>
          </cell>
          <cell r="H33">
            <v>0</v>
          </cell>
          <cell r="I33" t="str">
            <v>Длина 2345 мм; ширина 1415 мм; высота 2620 мм; вес 4,5 т</v>
          </cell>
        </row>
        <row r="34">
          <cell r="A34">
            <v>32</v>
          </cell>
          <cell r="B34">
            <v>11640</v>
          </cell>
          <cell r="C34" t="str">
            <v>Трансформатор</v>
          </cell>
          <cell r="D34" t="str">
            <v>ТМ-1000/10</v>
          </cell>
          <cell r="E34" t="str">
            <v>ЦРП-12</v>
          </cell>
          <cell r="F34">
            <v>1976</v>
          </cell>
          <cell r="G34">
            <v>40697.75</v>
          </cell>
          <cell r="H34">
            <v>0</v>
          </cell>
          <cell r="I34" t="str">
            <v>Длина 2345 мм; ширина 1415 мм; высота 2620 мм; вес 4,5 т</v>
          </cell>
        </row>
        <row r="35">
          <cell r="A35">
            <v>33</v>
          </cell>
          <cell r="B35">
            <v>11662</v>
          </cell>
          <cell r="C35" t="str">
            <v>Трансформатор</v>
          </cell>
          <cell r="D35" t="str">
            <v>ТМ-630-6</v>
          </cell>
          <cell r="E35" t="str">
            <v>ЦРП-13</v>
          </cell>
          <cell r="F35">
            <v>1987</v>
          </cell>
          <cell r="G35">
            <v>54121.39</v>
          </cell>
          <cell r="H35">
            <v>24351.51</v>
          </cell>
          <cell r="I35" t="str">
            <v>Длина 1750 мм; ширина 1185 мм; высота 1925 мм; вес 2,8 т</v>
          </cell>
        </row>
        <row r="36">
          <cell r="A36">
            <v>34</v>
          </cell>
          <cell r="B36">
            <v>11716</v>
          </cell>
          <cell r="C36" t="str">
            <v>Ячейка фидера "В"</v>
          </cell>
          <cell r="D36" t="str">
            <v>КСО-2УМ</v>
          </cell>
          <cell r="E36" t="str">
            <v>ГРП-14</v>
          </cell>
          <cell r="F36">
            <v>1957</v>
          </cell>
          <cell r="G36">
            <v>21275.65</v>
          </cell>
          <cell r="H36">
            <v>0</v>
          </cell>
          <cell r="I36" t="str">
            <v>Длина 1200 мм; ширина 1200 мм; высота 3100 мм; вес 0,9 т</v>
          </cell>
        </row>
        <row r="37">
          <cell r="A37">
            <v>35</v>
          </cell>
          <cell r="B37">
            <v>11718</v>
          </cell>
          <cell r="C37" t="str">
            <v>Ячейка фидера "Резерв"</v>
          </cell>
          <cell r="D37" t="str">
            <v>КСО-2УМ</v>
          </cell>
          <cell r="E37" t="str">
            <v>ГРП-14</v>
          </cell>
          <cell r="F37">
            <v>1957</v>
          </cell>
          <cell r="G37">
            <v>21275.65</v>
          </cell>
          <cell r="H37">
            <v>0</v>
          </cell>
          <cell r="I37" t="str">
            <v>Длина 1200 мм; ширина 1200 мм; высота 3100 мм; вес 0,9 т</v>
          </cell>
        </row>
        <row r="38">
          <cell r="A38">
            <v>36</v>
          </cell>
          <cell r="B38">
            <v>11719</v>
          </cell>
          <cell r="C38" t="str">
            <v>Ячейка фидера "Кинотеатр"</v>
          </cell>
          <cell r="D38" t="str">
            <v>КСО-2УМ</v>
          </cell>
          <cell r="E38" t="str">
            <v>ЦРП-?</v>
          </cell>
          <cell r="F38">
            <v>1957</v>
          </cell>
          <cell r="G38">
            <v>21275.65</v>
          </cell>
          <cell r="H38">
            <v>0</v>
          </cell>
          <cell r="I38" t="str">
            <v>Длина 1200 мм; ширина 1200 мм; высота 3100 мм; вес 0,9 т</v>
          </cell>
        </row>
        <row r="39">
          <cell r="A39">
            <v>37</v>
          </cell>
          <cell r="B39">
            <v>11729</v>
          </cell>
          <cell r="C39" t="str">
            <v>Ячейка фидера БРУ</v>
          </cell>
          <cell r="D39" t="str">
            <v>КСО-2УМ</v>
          </cell>
          <cell r="E39" t="str">
            <v>ЦРП-?</v>
          </cell>
          <cell r="F39">
            <v>1957</v>
          </cell>
          <cell r="G39">
            <v>21275.65</v>
          </cell>
          <cell r="H39">
            <v>0</v>
          </cell>
          <cell r="I39" t="str">
            <v>Длина 1200 мм; ширина 1200 мм; высота 3100 мм; вес 0,9 т</v>
          </cell>
        </row>
        <row r="40">
          <cell r="A40">
            <v>38</v>
          </cell>
          <cell r="B40">
            <v>11737</v>
          </cell>
          <cell r="C40" t="str">
            <v>Ячейка фидера ТП-9 №1</v>
          </cell>
          <cell r="D40" t="str">
            <v>КСО-2УМ</v>
          </cell>
          <cell r="E40" t="str">
            <v>ЦРП-?</v>
          </cell>
          <cell r="F40">
            <v>1965</v>
          </cell>
          <cell r="G40">
            <v>12185.15</v>
          </cell>
          <cell r="H40">
            <v>0</v>
          </cell>
          <cell r="I40" t="str">
            <v>Длина 1200 мм; ширина 1200 мм; высота 3100 мм; вес 0,9 т</v>
          </cell>
        </row>
        <row r="41">
          <cell r="A41">
            <v>39</v>
          </cell>
          <cell r="B41">
            <v>11738</v>
          </cell>
          <cell r="C41" t="str">
            <v>Ячейка фидера ТП-9 №2</v>
          </cell>
          <cell r="D41" t="str">
            <v>КСО-2УМ</v>
          </cell>
          <cell r="E41" t="str">
            <v>ЦРП-?</v>
          </cell>
          <cell r="F41">
            <v>1965</v>
          </cell>
          <cell r="G41">
            <v>14570.6</v>
          </cell>
          <cell r="H41">
            <v>0</v>
          </cell>
          <cell r="I41" t="str">
            <v>Длина 1200 мм; ширина 1200 мм; высота 3100 мм; вес 0,9 т</v>
          </cell>
        </row>
        <row r="42">
          <cell r="A42">
            <v>40</v>
          </cell>
          <cell r="B42">
            <v>11802</v>
          </cell>
          <cell r="C42" t="str">
            <v>Ячейка ТП-8 №2</v>
          </cell>
          <cell r="D42" t="str">
            <v>КСО-2УМ</v>
          </cell>
          <cell r="E42" t="str">
            <v>ЦРП-?</v>
          </cell>
          <cell r="F42">
            <v>1964</v>
          </cell>
          <cell r="G42">
            <v>21275.65</v>
          </cell>
          <cell r="H42">
            <v>0</v>
          </cell>
          <cell r="I42" t="str">
            <v>Длина 1200 мм; ширина 1200 мм; высота 3100 мм; вес 0,9 т</v>
          </cell>
        </row>
        <row r="43">
          <cell r="A43">
            <v>41</v>
          </cell>
          <cell r="B43">
            <v>11803</v>
          </cell>
          <cell r="C43" t="str">
            <v>Ячейка ТП-7</v>
          </cell>
          <cell r="D43" t="str">
            <v>КСО-2УМ</v>
          </cell>
          <cell r="E43" t="str">
            <v>ЦРП-4</v>
          </cell>
          <cell r="F43">
            <v>1964</v>
          </cell>
          <cell r="G43">
            <v>21275.65</v>
          </cell>
          <cell r="H43">
            <v>0</v>
          </cell>
          <cell r="I43" t="str">
            <v>Длина 1200 мм; ширина 1200 мм; высота 3100 мм; вес 0,9 т</v>
          </cell>
        </row>
        <row r="44">
          <cell r="A44">
            <v>42</v>
          </cell>
          <cell r="B44">
            <v>11804</v>
          </cell>
          <cell r="C44" t="str">
            <v>Ячейка ТЭЦ-2</v>
          </cell>
          <cell r="D44" t="str">
            <v>КСО-2УМ</v>
          </cell>
          <cell r="E44" t="str">
            <v>ЦРП-4</v>
          </cell>
          <cell r="F44">
            <v>1964</v>
          </cell>
          <cell r="G44">
            <v>21275.65</v>
          </cell>
          <cell r="H44">
            <v>0</v>
          </cell>
          <cell r="I44" t="str">
            <v>Длина 1200 мм; ширина 1200 мм; высота 3100 мм; вес 0,9 т</v>
          </cell>
        </row>
        <row r="45">
          <cell r="A45">
            <v>43</v>
          </cell>
          <cell r="B45">
            <v>11805</v>
          </cell>
          <cell r="C45" t="str">
            <v>Ячейка тр-р напряж</v>
          </cell>
          <cell r="D45" t="str">
            <v>КСО-2УМ</v>
          </cell>
          <cell r="E45" t="str">
            <v>ЦРП-4</v>
          </cell>
          <cell r="F45">
            <v>1964</v>
          </cell>
          <cell r="G45">
            <v>14570.6</v>
          </cell>
          <cell r="H45">
            <v>0</v>
          </cell>
          <cell r="I45" t="str">
            <v>Длина 1200 мм; ширина 1200 мм; высота 3100 мм; вес 0,9 т</v>
          </cell>
        </row>
        <row r="46">
          <cell r="A46">
            <v>44</v>
          </cell>
          <cell r="B46">
            <v>11806</v>
          </cell>
          <cell r="C46" t="str">
            <v>Ячейка сил. тр-р №2</v>
          </cell>
          <cell r="D46" t="str">
            <v>КСО-2УМ</v>
          </cell>
          <cell r="E46" t="str">
            <v>ЦРП-4</v>
          </cell>
          <cell r="F46">
            <v>1964</v>
          </cell>
          <cell r="G46">
            <v>21275.65</v>
          </cell>
          <cell r="H46">
            <v>0</v>
          </cell>
          <cell r="I46" t="str">
            <v>Длина 1200 мм; ширина 1200 мм; высота 3100 мм; вес 0,9 т</v>
          </cell>
        </row>
        <row r="47">
          <cell r="A47">
            <v>45</v>
          </cell>
          <cell r="B47">
            <v>11807</v>
          </cell>
          <cell r="C47" t="str">
            <v>Ячейка секционная</v>
          </cell>
          <cell r="D47" t="str">
            <v>КСО-2УМ</v>
          </cell>
          <cell r="E47" t="str">
            <v>ЦРП-4</v>
          </cell>
          <cell r="F47">
            <v>1964</v>
          </cell>
          <cell r="G47">
            <v>21275.65</v>
          </cell>
          <cell r="H47">
            <v>0</v>
          </cell>
          <cell r="I47" t="str">
            <v>Длина 1200 мм; ширина 1200 мм; высота 3100 мм; вес 0,9 т</v>
          </cell>
        </row>
        <row r="48">
          <cell r="A48">
            <v>46</v>
          </cell>
          <cell r="B48">
            <v>11808</v>
          </cell>
          <cell r="C48" t="str">
            <v>Ячейка ТП-8 №1</v>
          </cell>
          <cell r="D48" t="str">
            <v>КСО-2УМ</v>
          </cell>
          <cell r="E48" t="str">
            <v>?РП-4</v>
          </cell>
          <cell r="F48">
            <v>1964</v>
          </cell>
          <cell r="G48">
            <v>21275.65</v>
          </cell>
          <cell r="H48">
            <v>0</v>
          </cell>
          <cell r="I48" t="str">
            <v>Длина 1200 мм; ширина 1200 мм; высота 3100 мм; вес 0,9 т</v>
          </cell>
        </row>
        <row r="49">
          <cell r="A49">
            <v>47</v>
          </cell>
          <cell r="B49">
            <v>11821</v>
          </cell>
          <cell r="C49" t="str">
            <v>Трансформатор №2</v>
          </cell>
          <cell r="D49" t="str">
            <v>ТМ-1020/10</v>
          </cell>
          <cell r="E49" t="str">
            <v>???</v>
          </cell>
          <cell r="F49">
            <v>1965</v>
          </cell>
          <cell r="G49">
            <v>54800.93</v>
          </cell>
          <cell r="I49" t="str">
            <v>Длина 2750 мм; ширина 1700 мм; высота 3100 мм; вес 4,6 т</v>
          </cell>
        </row>
        <row r="50">
          <cell r="A50">
            <v>48</v>
          </cell>
          <cell r="B50">
            <v>11856</v>
          </cell>
          <cell r="C50" t="str">
            <v>Трансформатор</v>
          </cell>
          <cell r="D50" t="str">
            <v>ТСМА-560/6</v>
          </cell>
          <cell r="E50" t="str">
            <v>ЦРП-4</v>
          </cell>
          <cell r="F50">
            <v>1967</v>
          </cell>
          <cell r="G50">
            <v>51899.7</v>
          </cell>
          <cell r="H50">
            <v>0</v>
          </cell>
          <cell r="I50" t="str">
            <v>Длина 2200 мм; ширина 1300 мм; высота 2200 мм; вес 3,0 т</v>
          </cell>
        </row>
        <row r="51">
          <cell r="A51">
            <v>49</v>
          </cell>
          <cell r="B51">
            <v>11866</v>
          </cell>
          <cell r="C51" t="str">
            <v>Трансформатор</v>
          </cell>
          <cell r="D51" t="str">
            <v>ТМ-400/6</v>
          </cell>
          <cell r="E51" t="str">
            <v>ТП-13</v>
          </cell>
          <cell r="F51">
            <v>1980</v>
          </cell>
          <cell r="G51">
            <v>19663.86</v>
          </cell>
          <cell r="H51">
            <v>2792.85</v>
          </cell>
          <cell r="I51" t="str">
            <v>Длина 1118 мм; ширина 900 мм; высота 1750 мм; вес 1,9 т</v>
          </cell>
        </row>
        <row r="52">
          <cell r="A52">
            <v>50</v>
          </cell>
          <cell r="B52">
            <v>11867</v>
          </cell>
          <cell r="C52" t="str">
            <v>Трансформатор</v>
          </cell>
          <cell r="D52" t="str">
            <v>ТМ-400/6</v>
          </cell>
          <cell r="E52" t="str">
            <v>ТП-45</v>
          </cell>
          <cell r="F52">
            <v>1980</v>
          </cell>
          <cell r="G52">
            <v>19663.86</v>
          </cell>
          <cell r="H52">
            <v>2792.85</v>
          </cell>
          <cell r="I52" t="str">
            <v>Длина 1118 мм; ширина 900 мм; высота 1750 мм; вес 1,9 т</v>
          </cell>
        </row>
        <row r="53">
          <cell r="A53">
            <v>51</v>
          </cell>
          <cell r="B53">
            <v>11871</v>
          </cell>
          <cell r="C53" t="str">
            <v>Трансформатор</v>
          </cell>
          <cell r="D53" t="str">
            <v>TTV-630/6</v>
          </cell>
          <cell r="E53" t="str">
            <v>ТП-45</v>
          </cell>
          <cell r="F53">
            <v>1962</v>
          </cell>
          <cell r="G53">
            <v>67372.91</v>
          </cell>
          <cell r="H53">
            <v>0</v>
          </cell>
          <cell r="I53" t="str">
            <v>Длина 1850 мм; ширина 1200 мм; высота 2500 мм; вес 3,0 т</v>
          </cell>
        </row>
        <row r="54">
          <cell r="A54">
            <v>52</v>
          </cell>
          <cell r="B54">
            <v>11931</v>
          </cell>
          <cell r="C54" t="str">
            <v>Ячейка фидера "К"</v>
          </cell>
          <cell r="D54" t="str">
            <v>КСО-2УМ</v>
          </cell>
          <cell r="E54" t="str">
            <v>ЦРП-14</v>
          </cell>
          <cell r="F54">
            <v>1957</v>
          </cell>
          <cell r="G54">
            <v>21275.65</v>
          </cell>
          <cell r="H54">
            <v>0</v>
          </cell>
          <cell r="I54" t="str">
            <v>Длина 1200 мм; ширина 1200 мм; высота 3100 мм; вес 0,9 т</v>
          </cell>
        </row>
        <row r="55">
          <cell r="A55">
            <v>53</v>
          </cell>
          <cell r="B55">
            <v>11932</v>
          </cell>
          <cell r="C55" t="str">
            <v>Ячейка фидера "Л-2"</v>
          </cell>
          <cell r="D55" t="str">
            <v>КСО-2УМ</v>
          </cell>
          <cell r="E55" t="str">
            <v>ЦРП-14</v>
          </cell>
          <cell r="F55">
            <v>1957</v>
          </cell>
          <cell r="G55">
            <v>21275.65</v>
          </cell>
          <cell r="H55">
            <v>0</v>
          </cell>
          <cell r="I55" t="str">
            <v>Длина 1200 мм; ширина 1200 мм; высота 3100 мм; вес 0,9 т</v>
          </cell>
        </row>
        <row r="56">
          <cell r="A56">
            <v>54</v>
          </cell>
          <cell r="B56">
            <v>11933</v>
          </cell>
          <cell r="C56" t="str">
            <v>Ячейка фидера "Резерв"</v>
          </cell>
          <cell r="D56" t="str">
            <v>КСО-2УМ</v>
          </cell>
          <cell r="E56" t="str">
            <v>ЦРП-14</v>
          </cell>
          <cell r="F56">
            <v>1957</v>
          </cell>
          <cell r="G56">
            <v>21275.65</v>
          </cell>
          <cell r="H56">
            <v>0</v>
          </cell>
          <cell r="I56" t="str">
            <v>Длина 1200 мм; ширина 1200 мм; высота 3100 мм; вес 0,9 т</v>
          </cell>
        </row>
        <row r="57">
          <cell r="A57">
            <v>55</v>
          </cell>
          <cell r="B57">
            <v>11934</v>
          </cell>
          <cell r="C57" t="str">
            <v>Ячейка фидера "Резерв"</v>
          </cell>
          <cell r="D57" t="str">
            <v>?</v>
          </cell>
          <cell r="E57" t="str">
            <v>ЦРП-12</v>
          </cell>
          <cell r="F57">
            <v>1970</v>
          </cell>
          <cell r="G57">
            <v>12185.15</v>
          </cell>
          <cell r="H57">
            <v>0</v>
          </cell>
          <cell r="I57" t="str">
            <v>Длина 2700 мм; ширина 1600 мм; высота 4000 мм; вес 0,8 т</v>
          </cell>
        </row>
        <row r="58">
          <cell r="A58">
            <v>56</v>
          </cell>
          <cell r="B58">
            <v>11966</v>
          </cell>
          <cell r="C58" t="str">
            <v>Распредщит</v>
          </cell>
          <cell r="E58" t="str">
            <v>ЦРП-4</v>
          </cell>
          <cell r="F58">
            <v>1964</v>
          </cell>
          <cell r="G58">
            <v>224361.45</v>
          </cell>
          <cell r="H58">
            <v>0</v>
          </cell>
          <cell r="I58" t="str">
            <v>?</v>
          </cell>
        </row>
        <row r="59">
          <cell r="A59">
            <v>57</v>
          </cell>
          <cell r="B59">
            <v>19198</v>
          </cell>
          <cell r="C59" t="str">
            <v>Камера</v>
          </cell>
          <cell r="D59" t="str">
            <v>КСО-272</v>
          </cell>
          <cell r="E59" t="str">
            <v>ЦРП-7</v>
          </cell>
          <cell r="F59">
            <v>1981</v>
          </cell>
          <cell r="G59">
            <v>23689.41</v>
          </cell>
          <cell r="H59">
            <v>4406.5200000000004</v>
          </cell>
          <cell r="I59" t="str">
            <v>Ширина 1200 мм; глубина 1000 мм; высота 2900 мм; вес 0,7 т</v>
          </cell>
        </row>
        <row r="60">
          <cell r="A60">
            <v>58</v>
          </cell>
          <cell r="B60">
            <v>19199</v>
          </cell>
          <cell r="C60" t="str">
            <v>Камера</v>
          </cell>
          <cell r="D60" t="str">
            <v>КСО-272</v>
          </cell>
          <cell r="E60" t="str">
            <v>ЦРП-7</v>
          </cell>
          <cell r="F60">
            <v>1981</v>
          </cell>
          <cell r="G60">
            <v>23689.41</v>
          </cell>
          <cell r="H60">
            <v>4406.5200000000004</v>
          </cell>
          <cell r="I60" t="str">
            <v>Ширина 1200 мм; глубина 1000 мм; высота 2900 мм; вес 0,7 т</v>
          </cell>
        </row>
        <row r="61">
          <cell r="A61">
            <v>59</v>
          </cell>
          <cell r="B61">
            <v>19200</v>
          </cell>
          <cell r="C61" t="str">
            <v>Камера</v>
          </cell>
          <cell r="D61" t="str">
            <v>КСО-272</v>
          </cell>
          <cell r="E61" t="str">
            <v>ЦРП-?</v>
          </cell>
          <cell r="F61">
            <v>1981</v>
          </cell>
          <cell r="G61">
            <v>23689.41</v>
          </cell>
          <cell r="H61">
            <v>4406.5200000000004</v>
          </cell>
          <cell r="I61" t="str">
            <v>Ширина 1200 мм; глубина 1000 мм; высота 2900 мм; вес 0,7 т</v>
          </cell>
        </row>
        <row r="62">
          <cell r="A62">
            <v>60</v>
          </cell>
          <cell r="B62">
            <v>19201</v>
          </cell>
          <cell r="C62" t="str">
            <v>Камера</v>
          </cell>
          <cell r="D62" t="str">
            <v>КСО-272</v>
          </cell>
          <cell r="E62" t="str">
            <v>ЦРП-?</v>
          </cell>
          <cell r="F62">
            <v>1981</v>
          </cell>
          <cell r="G62">
            <v>23689.41</v>
          </cell>
          <cell r="H62">
            <v>4406.5200000000004</v>
          </cell>
          <cell r="I62" t="str">
            <v>Ширина 1200 мм; глубина 1000 мм; высота 2900 мм; вес 0,7 т</v>
          </cell>
        </row>
        <row r="63">
          <cell r="A63">
            <v>61</v>
          </cell>
          <cell r="B63">
            <v>19202</v>
          </cell>
          <cell r="C63" t="str">
            <v>Камера</v>
          </cell>
          <cell r="D63" t="str">
            <v>КСО-272</v>
          </cell>
          <cell r="E63" t="str">
            <v>ЦРП-7</v>
          </cell>
          <cell r="F63">
            <v>1981</v>
          </cell>
          <cell r="G63">
            <v>23689.41</v>
          </cell>
          <cell r="H63">
            <v>4406.5200000000004</v>
          </cell>
          <cell r="I63" t="str">
            <v>Ширина 1200 мм; глубина 1000 мм; высота 2900 мм; вес 0,7 т</v>
          </cell>
        </row>
        <row r="64">
          <cell r="A64">
            <v>62</v>
          </cell>
          <cell r="B64">
            <v>19203</v>
          </cell>
          <cell r="C64" t="str">
            <v>Камера</v>
          </cell>
          <cell r="D64" t="str">
            <v>КСО-272</v>
          </cell>
          <cell r="E64" t="str">
            <v>ЦРП-7</v>
          </cell>
          <cell r="F64">
            <v>1981</v>
          </cell>
          <cell r="G64">
            <v>23689.41</v>
          </cell>
          <cell r="H64">
            <v>4406.5200000000004</v>
          </cell>
          <cell r="I64" t="str">
            <v>Ширина 1200 мм; глубина 1000 мм; высота 2900 мм; вес 0,7 т</v>
          </cell>
        </row>
        <row r="65">
          <cell r="A65">
            <v>63</v>
          </cell>
          <cell r="B65">
            <v>19204</v>
          </cell>
          <cell r="C65" t="str">
            <v>Камера</v>
          </cell>
          <cell r="D65" t="str">
            <v>КСО-272</v>
          </cell>
          <cell r="E65" t="str">
            <v>ЦРП-7</v>
          </cell>
          <cell r="F65">
            <v>1981</v>
          </cell>
          <cell r="G65">
            <v>23689.41</v>
          </cell>
          <cell r="H65">
            <v>4406.5200000000004</v>
          </cell>
          <cell r="I65" t="str">
            <v>Ширина 1200 мм; глубина 1000 мм; высота 2900 мм; вес 0,7 т</v>
          </cell>
        </row>
        <row r="66">
          <cell r="A66">
            <v>64</v>
          </cell>
          <cell r="B66">
            <v>19205</v>
          </cell>
          <cell r="C66" t="str">
            <v>Камера</v>
          </cell>
          <cell r="D66" t="str">
            <v>КСО-272</v>
          </cell>
          <cell r="E66" t="str">
            <v>ЦРП-7</v>
          </cell>
          <cell r="F66">
            <v>1981</v>
          </cell>
          <cell r="G66">
            <v>23689.41</v>
          </cell>
          <cell r="H66">
            <v>4406.5200000000004</v>
          </cell>
          <cell r="I66" t="str">
            <v>Ширина 1200 мм; глубина 1000 мм; высота 2900 мм; вес 0,7 т</v>
          </cell>
        </row>
        <row r="67">
          <cell r="A67">
            <v>65</v>
          </cell>
          <cell r="B67">
            <v>19206</v>
          </cell>
          <cell r="C67" t="str">
            <v>Камера</v>
          </cell>
          <cell r="D67" t="str">
            <v>КСО-272</v>
          </cell>
          <cell r="E67" t="str">
            <v>ЦРП-7</v>
          </cell>
          <cell r="F67">
            <v>1981</v>
          </cell>
          <cell r="G67">
            <v>23689.41</v>
          </cell>
          <cell r="H67">
            <v>4406.5200000000004</v>
          </cell>
          <cell r="I67" t="str">
            <v>Ширина 1200 мм; глубина 1000 мм; высота 2900 мм; вес 0,7 т</v>
          </cell>
        </row>
        <row r="68">
          <cell r="A68">
            <v>66</v>
          </cell>
          <cell r="B68">
            <v>19207</v>
          </cell>
          <cell r="C68" t="str">
            <v>Камера</v>
          </cell>
          <cell r="D68" t="str">
            <v>КСО-272</v>
          </cell>
          <cell r="E68" t="str">
            <v>ЦРП-7</v>
          </cell>
          <cell r="F68">
            <v>1981</v>
          </cell>
          <cell r="G68">
            <v>23689.41</v>
          </cell>
          <cell r="H68">
            <v>4406.5200000000004</v>
          </cell>
          <cell r="I68" t="str">
            <v>Ширина 1200 мм; глубина 1000 мм; высота 2900 мм; вес 0,7 т</v>
          </cell>
        </row>
        <row r="69">
          <cell r="A69">
            <v>67</v>
          </cell>
          <cell r="B69">
            <v>19208</v>
          </cell>
          <cell r="C69" t="str">
            <v>Камера</v>
          </cell>
          <cell r="D69" t="str">
            <v>КСО-272</v>
          </cell>
          <cell r="E69" t="str">
            <v>ЦРП-?</v>
          </cell>
          <cell r="F69">
            <v>1981</v>
          </cell>
          <cell r="G69">
            <v>23689.41</v>
          </cell>
          <cell r="H69">
            <v>4406.5200000000004</v>
          </cell>
          <cell r="I69" t="str">
            <v>Ширина 1200 мм; глубина 1000 мм; высота 2900 мм; вес 0,7 т</v>
          </cell>
        </row>
        <row r="70">
          <cell r="A70">
            <v>68</v>
          </cell>
          <cell r="B70">
            <v>19209</v>
          </cell>
          <cell r="C70" t="str">
            <v>Камера</v>
          </cell>
          <cell r="D70" t="str">
            <v>КСО-272</v>
          </cell>
          <cell r="E70" t="str">
            <v>ЦРП-7</v>
          </cell>
          <cell r="F70">
            <v>1981</v>
          </cell>
          <cell r="G70">
            <v>23689.41</v>
          </cell>
          <cell r="H70">
            <v>4406.5200000000004</v>
          </cell>
          <cell r="I70" t="str">
            <v>Ширина 1200 мм; глубина 1000 мм; высота 2900 мм; вес 0,7 т</v>
          </cell>
        </row>
        <row r="71">
          <cell r="A71">
            <v>69</v>
          </cell>
          <cell r="B71">
            <v>19210</v>
          </cell>
          <cell r="C71" t="str">
            <v>Камера</v>
          </cell>
          <cell r="D71" t="str">
            <v>КСО-272</v>
          </cell>
          <cell r="E71" t="str">
            <v>ЦРП-?</v>
          </cell>
          <cell r="F71">
            <v>1981</v>
          </cell>
          <cell r="G71">
            <v>23689.41</v>
          </cell>
          <cell r="H71">
            <v>4406.5200000000004</v>
          </cell>
          <cell r="I71" t="str">
            <v>Ширина 1200 мм; глубина 1000 мм; высота 2900 мм; вес 0,7 т</v>
          </cell>
        </row>
        <row r="72">
          <cell r="A72">
            <v>70</v>
          </cell>
          <cell r="B72">
            <v>19211</v>
          </cell>
          <cell r="C72" t="str">
            <v>Камера</v>
          </cell>
          <cell r="D72" t="str">
            <v>КСО-272</v>
          </cell>
          <cell r="E72" t="str">
            <v>ЦРП-?</v>
          </cell>
          <cell r="F72">
            <v>1981</v>
          </cell>
          <cell r="G72">
            <v>23689.41</v>
          </cell>
          <cell r="H72">
            <v>4406.5200000000004</v>
          </cell>
          <cell r="I72" t="str">
            <v>Ширина 1200 мм; глубина 1000 мм; высота 2900 мм; вес 0,7 т</v>
          </cell>
        </row>
        <row r="73">
          <cell r="A73">
            <v>71</v>
          </cell>
          <cell r="B73">
            <v>19212</v>
          </cell>
          <cell r="C73" t="str">
            <v>Камера</v>
          </cell>
          <cell r="D73" t="str">
            <v>КСО-272</v>
          </cell>
          <cell r="E73" t="str">
            <v>ЦРП-?</v>
          </cell>
          <cell r="F73">
            <v>1981</v>
          </cell>
          <cell r="G73">
            <v>23689.41</v>
          </cell>
          <cell r="H73">
            <v>4406.5200000000004</v>
          </cell>
          <cell r="I73" t="str">
            <v>Ширина 1200 мм; глубина 1000 мм; высота 2900 мм; вес 0,7 т</v>
          </cell>
        </row>
        <row r="74">
          <cell r="A74">
            <v>72</v>
          </cell>
          <cell r="B74">
            <v>19213</v>
          </cell>
          <cell r="C74" t="str">
            <v>Камера</v>
          </cell>
          <cell r="D74" t="str">
            <v>КСО-272</v>
          </cell>
          <cell r="E74" t="str">
            <v>ЦРП-?</v>
          </cell>
          <cell r="F74">
            <v>1981</v>
          </cell>
          <cell r="G74">
            <v>23689.41</v>
          </cell>
          <cell r="H74">
            <v>4406.5200000000004</v>
          </cell>
          <cell r="I74" t="str">
            <v>Ширина 1200 мм; глубина 1000 мм; высота 2900 мм; вес 0,7 т</v>
          </cell>
        </row>
        <row r="75">
          <cell r="A75">
            <v>73</v>
          </cell>
          <cell r="B75">
            <v>19214</v>
          </cell>
          <cell r="C75" t="str">
            <v>Камера</v>
          </cell>
          <cell r="D75" t="str">
            <v>КСО-272</v>
          </cell>
          <cell r="E75" t="str">
            <v>ЦРП-?</v>
          </cell>
          <cell r="F75">
            <v>1981</v>
          </cell>
          <cell r="G75">
            <v>23689.41</v>
          </cell>
          <cell r="H75">
            <v>4406.5200000000004</v>
          </cell>
          <cell r="I75" t="str">
            <v>Ширина 1200 мм; глубина 1000 мм; высота 2900 мм; вес 0,7 т</v>
          </cell>
        </row>
        <row r="76">
          <cell r="A76">
            <v>74</v>
          </cell>
          <cell r="B76">
            <v>19215</v>
          </cell>
          <cell r="C76" t="str">
            <v>Камера</v>
          </cell>
          <cell r="D76" t="str">
            <v>КСО-272</v>
          </cell>
          <cell r="E76" t="str">
            <v>ЦРП-?</v>
          </cell>
          <cell r="F76">
            <v>1981</v>
          </cell>
          <cell r="G76">
            <v>23689.41</v>
          </cell>
          <cell r="H76">
            <v>4406.5200000000004</v>
          </cell>
          <cell r="I76" t="str">
            <v>Ширина 1200 мм; глубина 1000 мм; высота 2900 мм; вес 0,7 т</v>
          </cell>
        </row>
        <row r="77">
          <cell r="A77">
            <v>75</v>
          </cell>
          <cell r="B77">
            <v>32268</v>
          </cell>
          <cell r="C77" t="str">
            <v>Ячейка "ЦРП-1 №1"</v>
          </cell>
          <cell r="E77" t="str">
            <v>ЦРП-6</v>
          </cell>
          <cell r="F77">
            <v>1954</v>
          </cell>
          <cell r="G77">
            <v>21275.65</v>
          </cell>
          <cell r="H77">
            <v>0</v>
          </cell>
          <cell r="I77" t="str">
            <v>Длина 2700 мм; ширина 1600 мм; высота 4000 мм; вес 0,8 т</v>
          </cell>
        </row>
        <row r="78">
          <cell r="A78">
            <v>76</v>
          </cell>
          <cell r="B78">
            <v>32270</v>
          </cell>
          <cell r="C78" t="str">
            <v>Ячейка ВМГ-133</v>
          </cell>
          <cell r="E78" t="str">
            <v>ЦРП-6</v>
          </cell>
          <cell r="F78">
            <v>1962</v>
          </cell>
          <cell r="G78">
            <v>21275.65</v>
          </cell>
          <cell r="H78">
            <v>0</v>
          </cell>
          <cell r="I78" t="str">
            <v>Длина 2700 мм; ширина 1600 мм; высота 4000 мм; вес 0,8 т</v>
          </cell>
        </row>
        <row r="79">
          <cell r="A79">
            <v>77</v>
          </cell>
          <cell r="B79">
            <v>32272</v>
          </cell>
          <cell r="C79" t="str">
            <v>Ячейка ВМГ-133 "БРУ"</v>
          </cell>
          <cell r="E79" t="str">
            <v>ЦРП-6</v>
          </cell>
          <cell r="F79">
            <v>1970</v>
          </cell>
          <cell r="G79">
            <v>21275.65</v>
          </cell>
          <cell r="H79">
            <v>0</v>
          </cell>
          <cell r="I79" t="str">
            <v>Длина 2700 мм; ширина 1600 мм; высота 4000 мм; вес 0,8 т</v>
          </cell>
        </row>
        <row r="80">
          <cell r="A80">
            <v>78</v>
          </cell>
          <cell r="B80">
            <v>32273</v>
          </cell>
          <cell r="C80" t="str">
            <v>Трансформатор</v>
          </cell>
          <cell r="D80" t="str">
            <v>ТМ-560</v>
          </cell>
          <cell r="E80" t="str">
            <v>ТП-8</v>
          </cell>
          <cell r="F80">
            <v>1964</v>
          </cell>
          <cell r="G80">
            <v>51899.7</v>
          </cell>
          <cell r="H80">
            <v>0</v>
          </cell>
          <cell r="I80" t="str">
            <v>Длина 2010 мм; ширина 1200 мм; высота 3500 мм; вес 3,5 т</v>
          </cell>
        </row>
        <row r="81">
          <cell r="A81">
            <v>79</v>
          </cell>
          <cell r="B81">
            <v>32274</v>
          </cell>
          <cell r="C81" t="str">
            <v>Трансформатор</v>
          </cell>
          <cell r="D81" t="str">
            <v>ТМ-560</v>
          </cell>
          <cell r="E81" t="str">
            <v>ТП-8</v>
          </cell>
          <cell r="F81">
            <v>1964</v>
          </cell>
          <cell r="G81">
            <v>51899.7</v>
          </cell>
          <cell r="H81">
            <v>0</v>
          </cell>
          <cell r="I81" t="str">
            <v>Длина 2010 мм; ширина 1200 мм; высота 3500 мм; вес 3,5 т</v>
          </cell>
        </row>
        <row r="82">
          <cell r="A82">
            <v>80</v>
          </cell>
          <cell r="B82">
            <v>37267</v>
          </cell>
          <cell r="C82" t="str">
            <v>Ячейка "ЦРП-1 №2"</v>
          </cell>
          <cell r="E82" t="str">
            <v>ЦРП-6</v>
          </cell>
          <cell r="F82">
            <v>1958</v>
          </cell>
          <cell r="G82">
            <v>21275.65</v>
          </cell>
          <cell r="H82">
            <v>0</v>
          </cell>
          <cell r="I82" t="str">
            <v>?</v>
          </cell>
        </row>
        <row r="83">
          <cell r="A83">
            <v>81</v>
          </cell>
          <cell r="B83">
            <v>65152</v>
          </cell>
          <cell r="C83" t="str">
            <v>Ячейка тр-р напряж</v>
          </cell>
          <cell r="D83" t="str">
            <v>КСО-2УМ</v>
          </cell>
          <cell r="E83" t="str">
            <v>ЦРП-?</v>
          </cell>
          <cell r="F83">
            <v>1964</v>
          </cell>
          <cell r="G83">
            <v>14570.6</v>
          </cell>
          <cell r="H83">
            <v>0</v>
          </cell>
          <cell r="I83" t="str">
            <v>Длина 1200 мм; ширина 1200 мм; высота 3100 мм; вес 0,9 т</v>
          </cell>
        </row>
        <row r="84">
          <cell r="A84">
            <v>82</v>
          </cell>
          <cell r="B84">
            <v>65153</v>
          </cell>
          <cell r="C84" t="str">
            <v>Ячейка сил. тр-р №1</v>
          </cell>
          <cell r="D84" t="str">
            <v>КСО-2УМ</v>
          </cell>
          <cell r="E84" t="str">
            <v>ЦРП-?</v>
          </cell>
          <cell r="F84">
            <v>1964</v>
          </cell>
          <cell r="G84">
            <v>21275.65</v>
          </cell>
          <cell r="H84">
            <v>0</v>
          </cell>
          <cell r="I84" t="str">
            <v>Длина 1200 мм; ширина 1200 мм; высота 3100 мм; вес 0,9 т</v>
          </cell>
        </row>
        <row r="85">
          <cell r="A85">
            <v>83</v>
          </cell>
          <cell r="B85">
            <v>65157</v>
          </cell>
          <cell r="C85" t="str">
            <v>Ячейка ТЭЦ-2 №1</v>
          </cell>
          <cell r="D85" t="str">
            <v>КСО-2УМ</v>
          </cell>
          <cell r="E85" t="str">
            <v>ЦРП-4</v>
          </cell>
          <cell r="F85">
            <v>1964</v>
          </cell>
          <cell r="G85">
            <v>21275.65</v>
          </cell>
          <cell r="H85">
            <v>0</v>
          </cell>
          <cell r="I85" t="str">
            <v>Длина 1200 мм; ширина 1200 мм; высота 3100 мм; вес 0,9 т</v>
          </cell>
        </row>
        <row r="86">
          <cell r="A86">
            <v>84</v>
          </cell>
          <cell r="B86">
            <v>65179</v>
          </cell>
          <cell r="C86" t="str">
            <v>Ячейка "Резерв №1"</v>
          </cell>
          <cell r="D86" t="str">
            <v>КСО-2УМ</v>
          </cell>
          <cell r="E86" t="str">
            <v>ЦРП-?</v>
          </cell>
          <cell r="F86">
            <v>1964</v>
          </cell>
          <cell r="G86">
            <v>21275.65</v>
          </cell>
          <cell r="H86">
            <v>0</v>
          </cell>
          <cell r="I86" t="str">
            <v>Длина 1200 мм; ширина 1200 мм; высота 3100 мм; вес 0,9 т</v>
          </cell>
        </row>
        <row r="87">
          <cell r="A87">
            <v>85</v>
          </cell>
          <cell r="B87">
            <v>65180</v>
          </cell>
          <cell r="C87" t="str">
            <v>Ячейка "Резерв №2"</v>
          </cell>
          <cell r="D87" t="str">
            <v>КСО-2УМ</v>
          </cell>
          <cell r="E87" t="str">
            <v>ЦРП-?</v>
          </cell>
          <cell r="F87">
            <v>1964</v>
          </cell>
          <cell r="G87">
            <v>21275.65</v>
          </cell>
          <cell r="H87">
            <v>0</v>
          </cell>
          <cell r="I87" t="str">
            <v>Длина 1200 мм; ширина 1200 мм; высота 3100 мм; вес 0,9 т</v>
          </cell>
        </row>
        <row r="88">
          <cell r="A88">
            <v>86</v>
          </cell>
          <cell r="B88">
            <v>65182</v>
          </cell>
          <cell r="C88" t="str">
            <v>Ячейка "ТП-7 №1"</v>
          </cell>
          <cell r="D88" t="str">
            <v>КСО-2УМ</v>
          </cell>
          <cell r="E88" t="str">
            <v>ЦРП-4</v>
          </cell>
          <cell r="F88">
            <v>1964</v>
          </cell>
          <cell r="G88">
            <v>21275.65</v>
          </cell>
          <cell r="H88">
            <v>0</v>
          </cell>
          <cell r="I88" t="str">
            <v>Длина 1200 мм; ширина 1200 мм; высота 3100 мм; вес 0,9 т</v>
          </cell>
        </row>
        <row r="89">
          <cell r="A89">
            <v>87</v>
          </cell>
          <cell r="B89">
            <v>66490</v>
          </cell>
          <cell r="C89" t="str">
            <v>Трансформатор</v>
          </cell>
          <cell r="D89" t="str">
            <v>АТОВ-800</v>
          </cell>
          <cell r="E89" t="str">
            <v>ТП-?</v>
          </cell>
          <cell r="F89">
            <v>1964</v>
          </cell>
          <cell r="G89">
            <v>67372.91</v>
          </cell>
          <cell r="H89">
            <v>0</v>
          </cell>
          <cell r="I89" t="str">
            <v>Длина 2120 мм; ширина 1325 мм; высота 2280 мм; вес 4,0 т</v>
          </cell>
        </row>
        <row r="90">
          <cell r="A90">
            <v>88</v>
          </cell>
          <cell r="B90">
            <v>66491</v>
          </cell>
          <cell r="C90" t="str">
            <v>Трансформатор</v>
          </cell>
          <cell r="D90" t="str">
            <v>АТОВ-800</v>
          </cell>
          <cell r="E90" t="str">
            <v>ТП-?</v>
          </cell>
          <cell r="F90">
            <v>1963</v>
          </cell>
          <cell r="G90">
            <v>67372.91</v>
          </cell>
          <cell r="H90">
            <v>0</v>
          </cell>
          <cell r="I90" t="str">
            <v>Длина 2120 мм; ширина 1325 мм; высота 2280 мм; вес 4,0 т</v>
          </cell>
        </row>
        <row r="91">
          <cell r="A91">
            <v>89</v>
          </cell>
          <cell r="B91">
            <v>91034</v>
          </cell>
          <cell r="C91" t="str">
            <v>Ячейка "Поролон №2"</v>
          </cell>
          <cell r="E91" t="str">
            <v>ЦРП-4</v>
          </cell>
          <cell r="F91">
            <v>1964</v>
          </cell>
          <cell r="G91">
            <v>21275.65</v>
          </cell>
          <cell r="H91">
            <v>0</v>
          </cell>
          <cell r="I91" t="str">
            <v>?</v>
          </cell>
        </row>
        <row r="92">
          <cell r="A92">
            <v>90</v>
          </cell>
          <cell r="B92">
            <v>91035</v>
          </cell>
          <cell r="C92" t="str">
            <v>Ячейка "Поролон №1"</v>
          </cell>
          <cell r="E92" t="str">
            <v>ЦРП-4</v>
          </cell>
          <cell r="F92">
            <v>1964</v>
          </cell>
          <cell r="G92">
            <v>21275.65</v>
          </cell>
          <cell r="H92">
            <v>0</v>
          </cell>
          <cell r="I92" t="str">
            <v>?</v>
          </cell>
        </row>
        <row r="93">
          <cell r="A93">
            <v>91</v>
          </cell>
          <cell r="B93">
            <v>91036</v>
          </cell>
          <cell r="C93" t="str">
            <v>Ячейка "Ц. 24 №1"</v>
          </cell>
          <cell r="F93">
            <v>1969</v>
          </cell>
          <cell r="G93">
            <v>21275.65</v>
          </cell>
          <cell r="H93">
            <v>0</v>
          </cell>
        </row>
        <row r="94">
          <cell r="A94">
            <v>92</v>
          </cell>
          <cell r="B94">
            <v>91037</v>
          </cell>
          <cell r="C94" t="str">
            <v>Ячейка "Ц. 24 №2"</v>
          </cell>
          <cell r="F94">
            <v>1971</v>
          </cell>
          <cell r="G94">
            <v>21275.65</v>
          </cell>
          <cell r="H94">
            <v>0</v>
          </cell>
        </row>
        <row r="95">
          <cell r="A95">
            <v>93</v>
          </cell>
          <cell r="B95">
            <v>11870</v>
          </cell>
          <cell r="C95" t="str">
            <v>Экскаватор</v>
          </cell>
          <cell r="D95" t="str">
            <v>ЭТЦ-16-7</v>
          </cell>
          <cell r="F95">
            <v>1991</v>
          </cell>
          <cell r="G95">
            <v>80000</v>
          </cell>
          <cell r="H95">
            <v>18120.52</v>
          </cell>
        </row>
        <row r="96">
          <cell r="A96">
            <v>94</v>
          </cell>
          <cell r="B96">
            <v>11579</v>
          </cell>
          <cell r="C96" t="str">
            <v>Автошасси</v>
          </cell>
          <cell r="D96" t="str">
            <v>ЗИЛ-131</v>
          </cell>
          <cell r="F96">
            <v>1991</v>
          </cell>
          <cell r="G96">
            <v>9769</v>
          </cell>
          <cell r="H96">
            <v>0</v>
          </cell>
        </row>
        <row r="97">
          <cell r="A97">
            <v>95</v>
          </cell>
          <cell r="B97">
            <v>11580</v>
          </cell>
          <cell r="C97" t="str">
            <v>Автомобиль</v>
          </cell>
          <cell r="D97" t="str">
            <v>УАЗ-3303</v>
          </cell>
          <cell r="F97">
            <v>1993</v>
          </cell>
          <cell r="G97">
            <v>27000</v>
          </cell>
          <cell r="H97">
            <v>294.75</v>
          </cell>
        </row>
        <row r="98">
          <cell r="A98">
            <v>96</v>
          </cell>
          <cell r="B98">
            <v>11759</v>
          </cell>
          <cell r="C98" t="str">
            <v>Электролаборатория на шасси ГАЗ</v>
          </cell>
          <cell r="F98">
            <v>1992</v>
          </cell>
          <cell r="G98">
            <v>113309.61</v>
          </cell>
          <cell r="H98">
            <v>0</v>
          </cell>
        </row>
        <row r="99">
          <cell r="A99">
            <v>1000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О"/>
      <sheetName val="АБ"/>
      <sheetName val="Ф1"/>
      <sheetName val="Ф2"/>
      <sheetName val="ЧА"/>
      <sheetName val="Показатели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ощади"/>
      <sheetName val="дисконт"/>
      <sheetName val="резерв на зам"/>
      <sheetName val="ННЭИ-5 земля_в отчет"/>
      <sheetName val="НИ 5 земля "/>
      <sheetName val="ННЭИ-5 земля (2)"/>
      <sheetName val="НИ 5 земля  (2)"/>
      <sheetName val="ННЭИ 2вар"/>
      <sheetName val="НИ 2вар"/>
      <sheetName val="Ар. ставка-офисы"/>
      <sheetName val="ДП мах вероятн"/>
      <sheetName val="НИ"/>
      <sheetName val="торговля 1"/>
      <sheetName val="торговля 2"/>
      <sheetName val="офисы (2)"/>
      <sheetName val="сравнительный (2)"/>
      <sheetName val="Сведение"/>
      <sheetName val="скидка  "/>
      <sheetName val="Служебный"/>
      <sheetName val="#REF"/>
      <sheetName val="Зем_Opex"/>
      <sheetName val="Project Summary"/>
      <sheetName val="Insurance - Graphs"/>
      <sheetName val="RENT ROLL"/>
      <sheetName val="курс валют"/>
      <sheetName val="MODEL"/>
      <sheetName val="photos"/>
      <sheetName val="#ССЫЛКА"/>
      <sheetName val="Баланс"/>
      <sheetName val="Glossary"/>
      <sheetName val="Резервы"/>
      <sheetName val="Rates"/>
      <sheetName val="Портфели"/>
      <sheetName val="Макро-прогноз"/>
      <sheetName val="резерв_на_зам"/>
      <sheetName val="ННЭИ-5_земля_в_отчет"/>
      <sheetName val="НИ_5_земля_"/>
      <sheetName val="ННЭИ-5_земля_(2)"/>
      <sheetName val="НИ_5_земля__(2)"/>
      <sheetName val="ННЭИ_2вар"/>
      <sheetName val="НИ_2вар"/>
      <sheetName val="Ар__ставка-офисы"/>
      <sheetName val="ДП_мах_вероятн"/>
      <sheetName val="торговля_1"/>
      <sheetName val="торговля_2"/>
      <sheetName val="офисы_(2)"/>
      <sheetName val="сравнительный_(2)"/>
      <sheetName val="скидка__"/>
      <sheetName val="Project_Summary"/>
      <sheetName val="Insurance_-_Graphs"/>
      <sheetName val="RENT_ROLL"/>
      <sheetName val="курс_валют"/>
      <sheetName val="Sheet1"/>
      <sheetName val="Sheet2"/>
      <sheetName val="AP and Accrual Detail-N"/>
      <sheetName val="СВОД"/>
      <sheetName val="0302_TB"/>
      <sheetName val="Assum."/>
      <sheetName val="график строительства"/>
      <sheetName val="аренда_сравнит"/>
      <sheetName val="исх 1"/>
      <sheetName val="1"/>
      <sheetName val="свед"/>
      <sheetName val="общие сведения"/>
      <sheetName val="затр_подх"/>
      <sheetName val="Balance"/>
      <sheetName val="HBS initial"/>
      <sheetName val="Спис_Объекты_недв"/>
      <sheetName val="Balance Sheet"/>
      <sheetName val="2001"/>
      <sheetName val="Метод остатка"/>
      <sheetName val="график01.09.02"/>
      <sheetName val="Resume"/>
      <sheetName val="ОД"/>
      <sheetName val="ПВД"/>
      <sheetName val="2.Продажа квартир"/>
      <sheetName val="Содержание"/>
      <sheetName val="восст"/>
      <sheetName val="общие данные"/>
      <sheetName val="6.Продажа квартир"/>
      <sheetName val="Начало"/>
      <sheetName val="3.ЗАТРАТЫ"/>
      <sheetName val="Док+Исх"/>
      <sheetName val="Контрагенты"/>
      <sheetName val="Параметры ФОТ"/>
      <sheetName val="Дебиторы"/>
      <sheetName val="Inputs"/>
      <sheetName val="ТЭП гостиница"/>
      <sheetName val="Запрос"/>
      <sheetName val="исход"/>
      <sheetName val="Brif_zdanie"/>
      <sheetName val="СП_КОМПЛЕКС"/>
      <sheetName val="4.озеленение"/>
      <sheetName val="Осн_данные"/>
      <sheetName val="Параметры"/>
      <sheetName val="общее"/>
      <sheetName val="Исходные данные"/>
      <sheetName val="НФИк"/>
      <sheetName val="константы"/>
      <sheetName val="Расчет тарифов и выручки"/>
      <sheetName val="исходные"/>
      <sheetName val="13 NGDO"/>
      <sheetName val="Financing"/>
      <sheetName val="Лист3"/>
      <sheetName val="d"/>
      <sheetName val="1.ИСХ "/>
      <sheetName val="Лист2"/>
      <sheetName val="Ко-инвест"/>
      <sheetName val="таблица"/>
      <sheetName val="рабочий"/>
      <sheetName val="ЛитБ"/>
      <sheetName val="СрРасчёт"/>
      <sheetName val="ЗП"/>
      <sheetName val="Исходные данные-I"/>
      <sheetName val=" Assumptions"/>
      <sheetName val="Стоимость УК май-дек 13"/>
      <sheetName val="П03 Себестоимость проекта"/>
      <sheetName val="Расходы на управление"/>
      <sheetName val="Ставка Д"/>
      <sheetName val="Лист1"/>
      <sheetName val="Промка"/>
      <sheetName val="Инд"/>
      <sheetName val="расход"/>
      <sheetName val="Авансы_уплач_деньги в регионах_"/>
      <sheetName val="б"/>
      <sheetName val="PLтв _ Б"/>
      <sheetName val="Коррект"/>
      <sheetName val="Смета"/>
      <sheetName val="1.ИСХ"/>
      <sheetName val="документы Кириши"/>
      <sheetName val="Диспетчер имен"/>
      <sheetName val="2 очередь"/>
      <sheetName val="Общие_данные"/>
      <sheetName val="данные"/>
      <sheetName val="dk"/>
      <sheetName val="Расчет_стоимости"/>
      <sheetName val="Таблица 8"/>
      <sheetName val="общая"/>
      <sheetName val="Пересчет_Склады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антехника АКТ-АПР"/>
      <sheetName val=" БордюрАкт-АПР"/>
      <sheetName val="Кровля"/>
      <sheetName val="Фундамент"/>
      <sheetName val="Фундамент АКТ-АПР"/>
      <sheetName val="ФундаментЗП"/>
      <sheetName val="Крыша УраганАКТ-ФЕВР"/>
      <sheetName val=" Трет Фасад Смета"/>
      <sheetName val=" Трет Фасад Акт-Февр"/>
      <sheetName val=" Трет Фасад Акт-МАРТ"/>
      <sheetName val="Забор"/>
      <sheetName val="Асфальт  ОФ "/>
      <sheetName val="Асфальт  "/>
      <sheetName val="ГОРЯЧВодопр "/>
      <sheetName val="ГОРЯЧВодопр  (2)"/>
      <sheetName val="АКТ ГОРЯЧВодопр "/>
      <sheetName val="ПожВодопр"/>
      <sheetName val="ПожВодопр (2)"/>
      <sheetName val="ПожВодопрАКТ-ФЕВР-МАРТ"/>
      <sheetName val=" Кабель "/>
      <sheetName val=" Кабель  (2)"/>
      <sheetName val="АКТ  Кабель  "/>
      <sheetName val="Теплотрасса"/>
      <sheetName val="Теплотрасса (2)"/>
      <sheetName val="АКТ Теплотрасса "/>
      <sheetName val="АКТ Теплотрасса  (2)"/>
      <sheetName val="Водопров"/>
      <sheetName val="Водопров (2)"/>
      <sheetName val="Водопров АКТ-ДЕК"/>
      <sheetName val="Произв База АКТ-ЯНВ"/>
      <sheetName val="Быт Канал"/>
      <sheetName val="Пож и Хоз Вод АКТ-ЯНВ"/>
      <sheetName val="ДОП РАБ КабельТранш АКТ-ЯНВ (2)"/>
      <sheetName val="Быт Канал (3)"/>
      <sheetName val="Быт Канал Акт"/>
      <sheetName val="Ливн Канал"/>
      <sheetName val="Ливн Канал (2)"/>
      <sheetName val="Ливн Канал Акт"/>
      <sheetName val="Бетон Пол  "/>
      <sheetName val="Бетон Пол   ОФ"/>
      <sheetName val="АКТ Бетон Пол   "/>
      <sheetName val="АКТ-ДЕК Произв.Цех"/>
      <sheetName val=" Подвесн Потол Акт-ЯНВ"/>
      <sheetName val="АКТ-ДЕК Произв.Цех (2)"/>
      <sheetName val=" Подвесн Потол Смета"/>
      <sheetName val=" Подвесн Потол АКТ-Февр"/>
      <sheetName val=" Подвесн Потол (4)"/>
      <sheetName val=" Подвесн Потол (3)"/>
      <sheetName val=" Подвесн Потол (2)"/>
      <sheetName val=" АКТ Подвесн Потол1"/>
      <sheetName val=" АКТ Подвесн Потол1 (2)"/>
      <sheetName val="АКТ Подвесн Потол 2"/>
      <sheetName val="  Подвесн Потол 1"/>
      <sheetName val="  Штукат"/>
      <sheetName val=" Внутр ШтукатОф"/>
      <sheetName val=" АКТ  Штукат Июль"/>
      <sheetName val=" АКТ  Штукат Август"/>
      <sheetName val=" Внутр Откосы Оф "/>
      <sheetName val=" АКТ Откосы Июль"/>
      <sheetName val=" Внутр Штукат"/>
      <sheetName val="Третьяк Желоба"/>
      <sheetName val="Третьяк 2 К-2"/>
      <sheetName val="Третьяк 2 К-1"/>
      <sheetName val=" АКТ К-2 ,К-1 Феврал"/>
      <sheetName val=" АКТ К-2 ,К-1 Март 01"/>
      <sheetName val=" Третьяк2 Ремонт"/>
      <sheetName val=" Третьяк2 Перспектива"/>
      <sheetName val="ТретьякКотельная"/>
      <sheetName val="Котельная  Оф"/>
      <sheetName val="АКТ Котельная  "/>
      <sheetName val="АКТ Котельная  Окт"/>
      <sheetName val="АКТ Котельная  Сантех"/>
      <sheetName val="Котел Зарпл"/>
      <sheetName val="Трансформаторн"/>
      <sheetName val="Трансф Зарпл"/>
      <sheetName val="АКТ Трансформ Июль"/>
      <sheetName val="Акт Трансформат "/>
      <sheetName val="АКТ Трансфрм  Окт "/>
      <sheetName val="Третьяк2 Пол "/>
      <sheetName val="АКТ Третьяк2 Пол Ноябрь"/>
      <sheetName val="АКТ Третьяк2  Декабрь"/>
      <sheetName val="АКТ Трет2 Янва 01"/>
      <sheetName val="Смета ТРЕТ.ОТДЕЛКА"/>
      <sheetName val="Диаграмма1"/>
      <sheetName val="Смета ТРЕТ.ОТДЕЛКА (5)"/>
      <sheetName val="Смета ТРЕТ.ОТДЕЛКА (6)"/>
      <sheetName val=" ТРЕТ.ОТДЕЛКА ЗП"/>
      <sheetName val="АКТ Трет2 Март 01"/>
      <sheetName val="АКТ Трет2 Июль 01 "/>
      <sheetName val="А кт Трет4  Декабрь"/>
      <sheetName val="А кт Трет4 Январ 01"/>
      <sheetName val="А кт Трет4 Январ 01 (2)"/>
      <sheetName val="А кт Трет4 Февра"/>
      <sheetName val="А кт Трет4 Март01"/>
      <sheetName val="А кт Трет4 Август"/>
      <sheetName val="А кт Трет4 Август (2)"/>
      <sheetName val="А кт Лестн  Июль01"/>
      <sheetName val="А кт Трет 5 Декабрь"/>
      <sheetName val="А кт Трет 5 Январ"/>
      <sheetName val="А кт Трет 5 Феврал"/>
      <sheetName val="А кт Трет 5 Март01"/>
      <sheetName val="А кт Трет 6 Феврал "/>
      <sheetName val="А кт Трет 6 Март01"/>
      <sheetName val="А кт Трет 6 Июль01"/>
      <sheetName val="Цоколь"/>
      <sheetName val="Третьяк2 Отмостка"/>
      <sheetName val="Третьяк2 Кровля "/>
      <sheetName val="А ктЦоколь Ноябрь"/>
      <sheetName val="А ктЦоколь МАРТ01"/>
      <sheetName val="Быт Канал (2)"/>
      <sheetName val=" Подвесн Потол (5)"/>
      <sheetName val="Трансформаторн (2)"/>
      <sheetName val="ПожВодопрАКТ-ФЕВР"/>
      <sheetName val=" Подвесн Потол"/>
      <sheetName val="Произв База АКТ-февр"/>
      <sheetName val="Сантехника АКТ-Май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>
        <row r="8">
          <cell r="F8" t="str">
            <v>Е27-33</v>
          </cell>
        </row>
      </sheetData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/>
      <sheetData sheetId="114"/>
      <sheetData sheetId="115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КLoans"/>
      <sheetName val="СF"/>
      <sheetName val="ПланФакт"/>
      <sheetName val="Реализация"/>
      <sheetName val="СводныйЭксперт"/>
      <sheetName val="СводныйХаркон"/>
      <sheetName val="СводныйБал-кс"/>
      <sheetName val="СводныйЛион"/>
      <sheetName val="Лист14"/>
      <sheetName val="Сводный ГПБИ GPBI РСЭМ"/>
      <sheetName val="распр Харкон"/>
      <sheetName val="распр Эксперт"/>
      <sheetName val="распр валют.сч.Эксперт"/>
      <sheetName val="распр Бал-кс"/>
      <sheetName val="распр Лион"/>
      <sheetName val="распр РСЭМ"/>
      <sheetName val="р.с Эскперт"/>
      <sheetName val="РСЭМ"/>
      <sheetName val="р.с. Бал-кс"/>
      <sheetName val="постГПБИ"/>
      <sheetName val="выпл ГПБИ"/>
      <sheetName val="постGPBI"/>
      <sheetName val="выплGPBI"/>
      <sheetName val="CF ГПБИ"/>
      <sheetName val="ГLoans"/>
      <sheetName val="Выгрузка Эксперта 51 из 1С"/>
      <sheetName val="Харкон"/>
      <sheetName val="Реализ_исх"/>
      <sheetName val="КУРС"/>
      <sheetName val="экспертПланUSD"/>
      <sheetName val="ЭкспертПланЕвро"/>
      <sheetName val="ХарконПланЕвро"/>
      <sheetName val="ХарконПланДолл"/>
      <sheetName val="справочники"/>
      <sheetName val="распр Эксперт к удалению"/>
      <sheetName val="Лист7"/>
      <sheetName val="Лист1 (2)"/>
      <sheetName val="Лист1"/>
      <sheetName val="Лист4"/>
      <sheetName val="Лист11"/>
      <sheetName val="Лист12"/>
      <sheetName val="Служебны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83">
          <cell r="A83" t="str">
            <v>Приобретение 100% ООО"Эксперт"</v>
          </cell>
        </row>
        <row r="84">
          <cell r="A84" t="str">
            <v>Инвестиционный договор с ООО "Эксперт"</v>
          </cell>
        </row>
        <row r="85">
          <cell r="A85" t="str">
            <v>Коммерческие расходы</v>
          </cell>
        </row>
        <row r="86">
          <cell r="A86" t="str">
            <v>Увеличение УК OOO  "Балитекс"</v>
          </cell>
        </row>
        <row r="87">
          <cell r="A87" t="str">
            <v>Прочие расходы GPBI</v>
          </cell>
        </row>
        <row r="88">
          <cell r="A88" t="str">
            <v>Прочие расходы ГПБИ</v>
          </cell>
        </row>
        <row r="89">
          <cell r="A89" t="str">
            <v>Прочие расходы</v>
          </cell>
        </row>
        <row r="90">
          <cell r="A90" t="str">
            <v>Займы Эксперту и Балитексу</v>
          </cell>
        </row>
        <row r="91">
          <cell r="A91" t="str">
            <v>реализация домовладений</v>
          </cell>
        </row>
        <row r="92">
          <cell r="A92" t="str">
            <v>Оплата  за 30% долей БАЛИТЭКС"</v>
          </cell>
        </row>
        <row r="93">
          <cell r="A93" t="str">
            <v>Возврат займов Балитекс и Эксперт</v>
          </cell>
        </row>
        <row r="94">
          <cell r="A94" t="str">
            <v>Займы от Эксперта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редит (2)"/>
      <sheetName val="Кредит"/>
      <sheetName val="Анализ инвест"/>
      <sheetName val="Лист3"/>
    </sheetNames>
    <sheetDataSet>
      <sheetData sheetId="0" refreshError="1"/>
      <sheetData sheetId="1">
        <row r="6">
          <cell r="D6">
            <v>0.12</v>
          </cell>
        </row>
      </sheetData>
      <sheetData sheetId="2" refreshError="1"/>
      <sheetData sheetId="3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oup Comparative GAAP"/>
      <sheetName val="Group Comparative IAS"/>
      <sheetName val="R-U IAS History"/>
      <sheetName val="Cash Flow Working"/>
      <sheetName val="REPO"/>
      <sheetName val="TB GAAP"/>
      <sheetName val="TB IAS"/>
      <sheetName val="Income Statement"/>
      <sheetName val="Balance Sheet"/>
      <sheetName val="Cash Flow"/>
      <sheetName val="G-I-F Total"/>
      <sheetName val="G-I-F (RU)"/>
      <sheetName val="G-I-F (UA)"/>
      <sheetName val="FLash IAS"/>
      <sheetName val="Loans"/>
      <sheetName val="Cash Flow support"/>
      <sheetName val="Income Statement Russia and Ukr"/>
      <sheetName val="Class A Shares Outstanding"/>
      <sheetName val="Class B Shares Outstanding"/>
      <sheetName val="Dilutive Shares Outstanding"/>
      <sheetName val="EPS Working"/>
      <sheetName val="Share Price 2002"/>
      <sheetName val="RE Working"/>
      <sheetName val="Change of Equity"/>
      <sheetName val="Sheet1"/>
      <sheetName val="Sheet2"/>
      <sheetName val="Sheet3"/>
      <sheetName val="GAAP &amp; IAS Group TB &amp; Reports Q"/>
      <sheetName val="BU"/>
      <sheetName val="Master Inputs Start here"/>
      <sheetName val="TOC"/>
      <sheetName val="0_33"/>
      <sheetName val="1-ЭСПЦ"/>
      <sheetName val="COMPS"/>
      <sheetName val="BEX_Expenses_CY"/>
      <sheetName val="BEX_Expenses_PY"/>
      <sheetName val="BEX_MAIN_PL"/>
      <sheetName val="БДДС month (ф)"/>
      <sheetName val="БДДС month (п)"/>
      <sheetName val="Параметры"/>
      <sheetName val="КВ 2008"/>
      <sheetName val="XLR_NoRangeSheet"/>
      <sheetName val="июль"/>
      <sheetName val="база"/>
      <sheetName val="июнь"/>
      <sheetName val="январь"/>
      <sheetName val="февраль"/>
      <sheetName val="март"/>
      <sheetName val="апрель"/>
      <sheetName val="май"/>
      <sheetName val="август"/>
      <sheetName val="сентябрь"/>
      <sheetName val="октябрь"/>
      <sheetName val="ноябрь"/>
      <sheetName val="декабрь"/>
      <sheetName val="infl_rates"/>
      <sheetName val="PL"/>
      <sheetName val="ф 12"/>
      <sheetName val="Data"/>
      <sheetName val="Лист1"/>
      <sheetName val="коэф."/>
      <sheetName val="Info"/>
      <sheetName val="ИТР_РАБ_2010"/>
      <sheetName val="Классификатор затрат"/>
      <sheetName val="Birim Fiyatlar"/>
      <sheetName val="Kar Oranlari"/>
      <sheetName val="Birim Fiyat Analizi"/>
      <sheetName val="Endirekt Kadro"/>
      <sheetName val="Структура ПП"/>
      <sheetName val="assumptions"/>
      <sheetName val="RUS"/>
      <sheetName val="2 Параметры"/>
      <sheetName val="Продажи реальные и прогноз 20 л"/>
      <sheetName val="HR"/>
      <sheetName val="1"/>
      <sheetName val="С"/>
      <sheetName val="Справочник"/>
      <sheetName val="Cover &amp; Parameters"/>
      <sheetName val="ВН_НДЗ_график"/>
      <sheetName val="пр-во"/>
      <sheetName val="Brew rub"/>
      <sheetName val="АПК(2012)"/>
      <sheetName val="PARAMETRES"/>
      <sheetName val="Group_Comparative_GAAP"/>
      <sheetName val="Group_Comparative_IAS"/>
      <sheetName val="R-U_IAS_History"/>
      <sheetName val="Cash_Flow_Working"/>
      <sheetName val="TB_GAAP"/>
      <sheetName val="TB_IAS"/>
      <sheetName val="Income_Statement"/>
      <sheetName val="Balance_Sheet"/>
      <sheetName val="Cash_Flow"/>
      <sheetName val="G-I-F_Total"/>
      <sheetName val="G-I-F_(RU)"/>
      <sheetName val="G-I-F_(UA)"/>
      <sheetName val="FLash_IAS"/>
      <sheetName val="Cash_Flow_support"/>
      <sheetName val="Income_Statement_Russia_and_Ukr"/>
      <sheetName val="Class_A_Shares_Outstanding"/>
      <sheetName val="Class_B_Shares_Outstanding"/>
      <sheetName val="Dilutive_Shares_Outstanding"/>
      <sheetName val="EPS_Working"/>
      <sheetName val="Share_Price_2002"/>
      <sheetName val="RE_Working"/>
      <sheetName val="Change_of_Equity"/>
      <sheetName val="коэф_"/>
      <sheetName val="GAAP_&amp;_IAS_Group_TB_&amp;_Reports_Q"/>
      <sheetName val="Cover_&amp;_Parameters"/>
      <sheetName val="Справочник_филиалов"/>
      <sheetName val="Group_Comparative_GAAP1"/>
      <sheetName val="Group_Comparative_IAS1"/>
      <sheetName val="R-U_IAS_History1"/>
      <sheetName val="Cash_Flow_Working1"/>
      <sheetName val="TB_GAAP1"/>
      <sheetName val="TB_IAS1"/>
      <sheetName val="Income_Statement1"/>
      <sheetName val="Balance_Sheet1"/>
      <sheetName val="Cash_Flow1"/>
      <sheetName val="G-I-F_Total1"/>
      <sheetName val="G-I-F_(RU)1"/>
      <sheetName val="G-I-F_(UA)1"/>
      <sheetName val="FLash_IAS1"/>
      <sheetName val="Cash_Flow_support1"/>
      <sheetName val="Income_Statement_Russia_and_Uk1"/>
      <sheetName val="Class_A_Shares_Outstanding1"/>
      <sheetName val="Class_B_Shares_Outstanding1"/>
      <sheetName val="Dilutive_Shares_Outstanding1"/>
      <sheetName val="EPS_Working1"/>
      <sheetName val="Share_Price_20021"/>
      <sheetName val="RE_Working1"/>
      <sheetName val="Change_of_Equity1"/>
      <sheetName val="коэф_1"/>
      <sheetName val="GAAP_&amp;_IAS_Group_TB_&amp;_Reports_1"/>
      <sheetName val="Cover_&amp;_Parameters1"/>
      <sheetName val="BEX_AR"/>
      <sheetName val="BEX_Associates"/>
      <sheetName val="BEX_BSRP_OLD"/>
      <sheetName val="BEX_Eq"/>
      <sheetName val="BEX_Expenses1"/>
      <sheetName val="BEX_Income_Tax"/>
      <sheetName val="BEX_Intangibles"/>
      <sheetName val="BEX_Inventory"/>
      <sheetName val="BEX_invest_unit"/>
      <sheetName val="BEX_invest_unit_OLD"/>
      <sheetName val="BEX_MAIN_BS_RP"/>
      <sheetName val="BEX_partner_CAD"/>
      <sheetName val="BEX_partner_CZK"/>
      <sheetName val="BEX_partner_EUR"/>
      <sheetName val="BEX_partner_OLD"/>
      <sheetName val="BEX_partner_OTH"/>
      <sheetName val="BEX_partner_RUB"/>
      <sheetName val="BEX_partner_UAH"/>
      <sheetName val="BEX_partner_USD"/>
      <sheetName val="BEX_partner_ZAR"/>
      <sheetName val="BEX_PP_E"/>
      <sheetName val="BEX_Provisions"/>
      <sheetName val="rem"/>
      <sheetName val="Справочник предприятий"/>
      <sheetName val="Справочник статей бюджета"/>
      <sheetName val="Справочники"/>
      <sheetName val="ListOfSheets"/>
      <sheetName val="автоприцепы"/>
      <sheetName val="предприятия"/>
      <sheetName val="спр"/>
      <sheetName val="Проверочная вкладка"/>
      <sheetName val="Проверочная вкладка для PL"/>
      <sheetName val="List"/>
      <sheetName val="Blédina cumul"/>
      <sheetName val="allocat"/>
      <sheetName val="diff03"/>
      <sheetName val="спецпивот"/>
      <sheetName val="Returns"/>
      <sheetName val="Списки"/>
      <sheetName val="Для списков"/>
      <sheetName val="Лист3"/>
      <sheetName val="Исх. данные"/>
      <sheetName val="s"/>
      <sheetName val="Inputs Sheet"/>
      <sheetName val="Проект"/>
      <sheetName val="Компания"/>
      <sheetName val="Опции"/>
      <sheetName val="Анализ"/>
      <sheetName val="Свод"/>
      <sheetName val="LDE"/>
      <sheetName val="In2"/>
      <sheetName val="Дивизион"/>
      <sheetName val="БДДС_month_(ф)"/>
      <sheetName val="БДДС_month_(п)"/>
      <sheetName val="КВ_2008"/>
      <sheetName val="ф_12"/>
      <sheetName val="2_Параметры"/>
      <sheetName val="Справочник_предприятий"/>
      <sheetName val="Справочник_статей_бюджета"/>
      <sheetName val="Проверочная_вкладка"/>
      <sheetName val="Проверочная_вкладка_для_PL"/>
      <sheetName val="1530"/>
      <sheetName val="Статьи пост затрат"/>
      <sheetName val="Статьи-ОД"/>
      <sheetName val="Статьи"/>
      <sheetName val="Group_Comparative_GAAP2"/>
      <sheetName val="Group_Comparative_IAS2"/>
      <sheetName val="R-U_IAS_History2"/>
      <sheetName val="Cash_Flow_Working2"/>
      <sheetName val="TB_GAAP2"/>
      <sheetName val="TB_IAS2"/>
      <sheetName val="Income_Statement2"/>
      <sheetName val="Balance_Sheet2"/>
      <sheetName val="Cash_Flow2"/>
      <sheetName val="G-I-F_Total2"/>
      <sheetName val="G-I-F_(RU)2"/>
      <sheetName val="G-I-F_(UA)2"/>
      <sheetName val="FLash_IAS2"/>
      <sheetName val="Cash_Flow_support2"/>
      <sheetName val="Income_Statement_Russia_and_Uk2"/>
      <sheetName val="Class_A_Shares_Outstanding2"/>
      <sheetName val="Class_B_Shares_Outstanding2"/>
      <sheetName val="Dilutive_Shares_Outstanding2"/>
      <sheetName val="EPS_Working2"/>
      <sheetName val="Share_Price_20022"/>
      <sheetName val="RE_Working2"/>
      <sheetName val="Change_of_Equity2"/>
      <sheetName val="Inputs_Sheet"/>
      <sheetName val="БДДС_month_(ф)1"/>
      <sheetName val="БДДС_month_(п)1"/>
      <sheetName val="КВ_20081"/>
      <sheetName val="ф_121"/>
      <sheetName val="2_Параметры1"/>
      <sheetName val="Справочник_предприятий1"/>
      <sheetName val="Справочник_статей_бюджета1"/>
      <sheetName val="Проверочная_вкладка1"/>
      <sheetName val="Проверочная_вкладка_для_PL1"/>
      <sheetName val="Статьи_пост_затрат"/>
      <sheetName val="1.411.1"/>
      <sheetName val="1,3 новая"/>
      <sheetName val="ИнвестицииСвод"/>
      <sheetName val="Понедельно"/>
      <sheetName val="PD.5_2"/>
      <sheetName val="PD.5_1"/>
      <sheetName val="Итог по НПО "/>
      <sheetName val="Баланс (Ф1)"/>
      <sheetName val="1.401.2"/>
      <sheetName val="П"/>
      <sheetName val="3.3.31."/>
      <sheetName val="формаДДС_пЛОХ_ЛОХЛкмесяц03_ДАШв"/>
      <sheetName val="К1_МП"/>
      <sheetName val="Rates"/>
      <sheetName val="Costs"/>
      <sheetName val="СводТК (БПУ)"/>
      <sheetName val="Расш"/>
      <sheetName val="ТМЦ"/>
      <sheetName val="расц"/>
      <sheetName val="техн"/>
      <sheetName val="сах св"/>
      <sheetName val="оз пш"/>
      <sheetName val="люпин"/>
      <sheetName val="яр пш"/>
      <sheetName val="яр яч"/>
      <sheetName val="оз яч"/>
      <sheetName val="пив яч"/>
      <sheetName val="оз рожь"/>
      <sheetName val="овес"/>
      <sheetName val="рапс"/>
      <sheetName val="горох"/>
      <sheetName val="соя"/>
      <sheetName val="трит"/>
      <sheetName val="греч"/>
      <sheetName val="подс"/>
      <sheetName val="кук зер"/>
      <sheetName val="кук сил"/>
      <sheetName val="мн тр"/>
      <sheetName val="одн тр"/>
      <sheetName val="лен"/>
      <sheetName val="горч"/>
      <sheetName val="рис"/>
      <sheetName val="оз рыж"/>
      <sheetName val="яр рыж"/>
      <sheetName val="сафл"/>
      <sheetName val="пары"/>
      <sheetName val="hiddenSheet"/>
      <sheetName val="справочник доп. аналитики"/>
      <sheetName val="корр-ки"/>
      <sheetName val="смета"/>
      <sheetName val="исход. дан."/>
      <sheetName val="PriceSummary"/>
      <sheetName val="статика"/>
      <sheetName val="Продажи_реальные_и_прогноз_20_л"/>
      <sheetName val="Taşeron Endireği"/>
      <sheetName val="Personnel"/>
      <sheetName val="5001"/>
      <sheetName val="5003"/>
      <sheetName val="5002"/>
      <sheetName val="5008"/>
      <sheetName val="5006"/>
      <sheetName val="5007"/>
      <sheetName val="5005"/>
      <sheetName val="5004"/>
      <sheetName val="Лист2"/>
      <sheetName val="_dropDownSheet"/>
      <sheetName val="СтатьиОборотов"/>
      <sheetName val="kur-parite"/>
      <sheetName val="Katsayilar"/>
      <sheetName val="16.Veri Bankası ve Kabuller"/>
      <sheetName val="05.Detay"/>
      <sheetName val="13-Genel Gider Back-up"/>
      <sheetName val="15.5-Betonarme Maliyet Atasman"/>
      <sheetName val="11.Ekipman Back-up"/>
      <sheetName val="09.İscilik Back-up"/>
      <sheetName val="08.Proje&amp;Malzeme Back-up"/>
      <sheetName val="10.Taseron Back-up"/>
      <sheetName val="03.Kontrat Bilgileri"/>
      <sheetName val="14-Demirbas Back-up"/>
      <sheetName val="01.Kapak"/>
      <sheetName val="Adam-Saat Hesabi"/>
      <sheetName val="Concrete Sheet"/>
      <sheetName val="Cost BOQ"/>
      <sheetName val="A"/>
      <sheetName val="Ilgili Atasman"/>
      <sheetName val="04-Sunum"/>
      <sheetName val="08-Ekipman Back-Up"/>
      <sheetName val="07-PGG"/>
      <sheetName val="PGG"/>
      <sheetName val="Alanlar"/>
      <sheetName val="ЦZET"/>
      <sheetName val="Analiz"/>
      <sheetName val="BOQ"/>
      <sheetName val="Concrete Cost Sheet"/>
      <sheetName val="Skla.Muko"/>
      <sheetName val="Natl Consult Reg."/>
      <sheetName val="10"/>
      <sheetName val="5"/>
      <sheetName val="14"/>
      <sheetName val="UNITSCHD"/>
      <sheetName val="Банки"/>
      <sheetName val="Сценарные условия"/>
      <sheetName val="Содержание"/>
      <sheetName val="BS"/>
      <sheetName val="1240"/>
      <sheetName val="TB"/>
      <sheetName val="Движение РСД"/>
      <sheetName val="Справочник видов затрат "/>
      <sheetName val="Список ЕАХ"/>
      <sheetName val="Data-Do-Not-Delete"/>
      <sheetName val="BU Right to Grow"/>
      <sheetName val="Инстр"/>
      <sheetName val="1_Vol"/>
      <sheetName val="2_KPI"/>
      <sheetName val="1.1_Vol"/>
      <sheetName val="3_PL"/>
      <sheetName val="4_VIC_Сахар"/>
      <sheetName val="4_VIC_Крупа"/>
      <sheetName val="4_VIC_жиП"/>
      <sheetName val="5_VLC"/>
      <sheetName val="6_MC"/>
      <sheetName val="7_CC"/>
      <sheetName val="9_IT"/>
      <sheetName val="8_FIX"/>
      <sheetName val="10_CO"/>
      <sheetName val="11_Проч. ФР"/>
      <sheetName val="12_ CAPEX"/>
      <sheetName val="12.1_ CAPEX_Д."/>
      <sheetName val="12.2_ CAPEX_Р."/>
      <sheetName val="13_HR"/>
      <sheetName val="14_BS"/>
      <sheetName val="17.1_сверка IC_Баланс"/>
      <sheetName val="16_WC"/>
      <sheetName val="17_CF"/>
      <sheetName val="6.1_сверка IC_БДР"/>
      <sheetName val="18_УУ корр"/>
      <sheetName val="18.1_Кагат-е"/>
      <sheetName val="15.2_компании"/>
      <sheetName val="16.3_БДР"/>
      <sheetName val="16.4_Баланс"/>
      <sheetName val="19_2600801"/>
      <sheetName val="20_Тран-рт"/>
      <sheetName val="21_ТЭР"/>
      <sheetName val="22_АХР"/>
      <sheetName val="23_Прочие"/>
      <sheetName val="24_ОСВ"/>
      <sheetName val="25_Стр-ра ГК"/>
      <sheetName val="5_Передача_Затрат"/>
      <sheetName val="КОНТРОЛЬ PL"/>
      <sheetName val="КОНТРОЛЬ BS"/>
      <sheetName val="Б_РC"/>
      <sheetName val="РС "/>
      <sheetName val="Жом НИ"/>
      <sheetName val="Жом по мес."/>
      <sheetName val="Меласса НИ"/>
      <sheetName val="Меласса по мес."/>
      <sheetName val="Бетаин"/>
      <sheetName val="Рафинат НИ"/>
      <sheetName val="Рафинат по мес."/>
      <sheetName val="adhoc"/>
      <sheetName val="Sales month"/>
      <sheetName val="Sales YTD"/>
      <sheetName val="B2B Sugar"/>
      <sheetName val="B2C Sugar"/>
      <sheetName val="B2C Cereal"/>
      <sheetName val="assump"/>
      <sheetName val="Offsets &amp; Other Costs"/>
      <sheetName val="Summary"/>
      <sheetName val="Справочник 2013"/>
      <sheetName val="new Справочник 2014"/>
      <sheetName val="Справочник 2014"/>
      <sheetName val="Справочник с 01.05.2015"/>
      <sheetName val="Справочник 2015"/>
      <sheetName val="Reimb cost-support docs mat"/>
      <sheetName val="Contracts add.attributes"/>
      <sheetName val="Currency"/>
      <sheetName val="2013"/>
      <sheetName val="База1"/>
      <sheetName val="Динамика"/>
      <sheetName val="Справочник с 01 02 2017"/>
      <sheetName val="коэф_2"/>
      <sheetName val="GAAP_&amp;_IAS_Group_TB_&amp;_Reports_2"/>
      <sheetName val="Cover_&amp;_Parameters2"/>
      <sheetName val="Blédina_cumul"/>
      <sheetName val="Сценарные_условия"/>
      <sheetName val="Признаки"/>
      <sheetName val="таблица по договорам"/>
      <sheetName val="клиенты"/>
      <sheetName val="ANLZ"/>
      <sheetName val="ÖZET"/>
      <sheetName val="Finansal tamamlanma Eğrisi"/>
      <sheetName val="Rate-Code"/>
      <sheetName val="Kabuller"/>
      <sheetName val="Tesisat Ekibi CG"/>
      <sheetName val="рсч"/>
      <sheetName val="БДР УУ"/>
      <sheetName val="Шаблон помесячно"/>
      <sheetName val="Proforma"/>
      <sheetName val="Исх"/>
      <sheetName val="PL план 2017 "/>
      <sheetName val="Мэппинг ДО-Объект"/>
      <sheetName val="Корректировки помесячно"/>
      <sheetName val="Controls"/>
      <sheetName val="LBO Model"/>
      <sheetName val="1.Расчет-отчет "/>
      <sheetName val="1.Расчет-отчет  (2)"/>
      <sheetName val="вопросы"/>
      <sheetName val="Цены"/>
      <sheetName val="1.Расчет-отчет Consumer"/>
      <sheetName val="Forecast"/>
      <sheetName val="4. C-F"/>
      <sheetName val="MAPPING"/>
      <sheetName val="16"/>
      <sheetName val="50"/>
      <sheetName val="TESİSAT"/>
      <sheetName val="17_УО (2)"/>
      <sheetName val="на 1 тн"/>
      <sheetName val="натуральные"/>
      <sheetName val="Пр-во_Ф (2)"/>
      <sheetName val="поголовье_надой"/>
      <sheetName val="постоянные"/>
      <sheetName val="Дерево_РБ-1 "/>
      <sheetName val="Корма РБ-1"/>
      <sheetName val="Дерево_РБ_2 к БП"/>
      <sheetName val="пост админ РБ 2"/>
      <sheetName val="переменные РБ_2"/>
      <sheetName val="Структура"/>
      <sheetName val="порог"/>
      <sheetName val="перем, пост админ"/>
      <sheetName val="надой РБ_1"/>
      <sheetName val="переменные РБ_1"/>
      <sheetName val="постоянные РБ_1"/>
      <sheetName val="административные РБ_1 "/>
      <sheetName val="Цели и задачи"/>
      <sheetName val="Произ показ РБ_1"/>
      <sheetName val="PwP_13"/>
      <sheetName val="PwP_13 (2)"/>
      <sheetName val="PwP_13 РБ_1"/>
      <sheetName val="Корма РБ2 расш"/>
      <sheetName val="структура мясо_РБ"/>
      <sheetName val="Пр-во (2)"/>
      <sheetName val="Бал"/>
      <sheetName val="БДДС"/>
      <sheetName val="19_УО (2)"/>
      <sheetName val="Ф2"/>
      <sheetName val="БДР"/>
      <sheetName val="Объем"/>
      <sheetName val="ФОТ"/>
      <sheetName val="Пр"/>
      <sheetName val="ПЖ"/>
      <sheetName val="ПП"/>
      <sheetName val="ПА"/>
      <sheetName val="Выр_SS"/>
      <sheetName val="НЗП-ГП"/>
      <sheetName val="Дерево_НИ_РБ(по БУ)"/>
      <sheetName val="ФА_РБ"/>
      <sheetName val="Дерево_мес"/>
      <sheetName val="Продажи (мес.)"/>
      <sheetName val=" ФА_месяц"/>
      <sheetName val="Продажи(НИ)"/>
      <sheetName val="структура мясо мес"/>
      <sheetName val="Дерево_НИ"/>
      <sheetName val="структура мясо НИ"/>
      <sheetName val="Пр-во_Ф"/>
      <sheetName val="Выр_SS_Ф"/>
      <sheetName val="ПП_Ф"/>
      <sheetName val="ПЖ_Ф"/>
      <sheetName val="ПА_Ф"/>
      <sheetName val="Пр_ДР"/>
      <sheetName val="на 1тн_Ф"/>
      <sheetName val="НЗП-ГП_Ф"/>
      <sheetName val="Pwp_5"/>
      <sheetName val="Pwp_7"/>
      <sheetName val="PwP_9"/>
      <sheetName val="PwP_11"/>
      <sheetName val="PwP_12"/>
      <sheetName val="ТЭР"/>
      <sheetName val="PwP_13 (3)"/>
      <sheetName val="PwP_15"/>
      <sheetName val="Корма"/>
      <sheetName val="Оборот"/>
      <sheetName val="ОП_мол"/>
      <sheetName val="ОП_КРС"/>
      <sheetName val="Дерево_мес_РБ"/>
      <sheetName val=" ФА_НИ"/>
      <sheetName val="Ф2_УО"/>
      <sheetName val="ФОТ_УО"/>
      <sheetName val="Молоко_УО"/>
      <sheetName val="Выр_SS_УО"/>
      <sheetName val="2_УО"/>
      <sheetName val="3_УО"/>
      <sheetName val="4_БДР с Упр кор"/>
      <sheetName val="6_УО"/>
      <sheetName val="7_УО"/>
      <sheetName val="11_УО"/>
      <sheetName val="13_УО"/>
      <sheetName val="15_УО"/>
      <sheetName val="17_УО"/>
      <sheetName val="19_УО"/>
      <sheetName val="27_УО"/>
      <sheetName val="21_УО"/>
      <sheetName val="21.1_УО"/>
      <sheetName val="21.2_УО"/>
      <sheetName val="Сод"/>
      <sheetName val="Титул"/>
      <sheetName val="#ССЫЛКА"/>
      <sheetName val="Cover _ Parameters"/>
      <sheetName val="Статьи БДДС"/>
      <sheetName val="Статьи БДДС для ФОРМУЛ"/>
      <sheetName val="СПРАВОЧНИК СТАТЕЙ БДДС"/>
      <sheetName val="Виды сырья"/>
      <sheetName val="ЮЛ-ЦФО"/>
      <sheetName val=""/>
      <sheetName val="Категории льгот"/>
      <sheetName val="2.1 ФОТ и страховые взносы"/>
      <sheetName val="1.3 ФОТ и страховые взносы"/>
      <sheetName val="Data Validation"/>
      <sheetName val="GLC_ratios_Jun"/>
      <sheetName val="Список"/>
      <sheetName val="Database (RUR)Mar YTD"/>
      <sheetName val="4. NWABC"/>
      <sheetName val="Title"/>
      <sheetName val="Компании группы"/>
      <sheetName val="ПРИЛОЖЕНИЕ 2"/>
      <sheetName val="Откл. по фин. рез"/>
      <sheetName val="сводная"/>
      <sheetName val="TDSheet"/>
      <sheetName val="Поставщики"/>
      <sheetName val="филиала"/>
      <sheetName val="СпрФункции"/>
      <sheetName val="СпрСтЗатрат"/>
      <sheetName val="Именованные списки"/>
      <sheetName val="44 итого"/>
      <sheetName val="Факт"/>
      <sheetName val="План"/>
      <sheetName val="всп"/>
      <sheetName val="Структура 2015"/>
      <sheetName val="Списки техники"/>
      <sheetName val="Для_списков"/>
      <sheetName val="BU_Right_to_Grow"/>
      <sheetName val="IF (10)"/>
      <sheetName val="Ф-расх.часть"/>
      <sheetName val="июль-дек"/>
      <sheetName val="СП_Ед. изм"/>
      <sheetName val="DCF_GA"/>
      <sheetName val="mp"/>
      <sheetName val="GD"/>
      <sheetName val="2.2"/>
      <sheetName val="22"/>
      <sheetName val="3"/>
      <sheetName val="6"/>
      <sheetName val="8"/>
      <sheetName val="9"/>
      <sheetName val=" Цена акции 2002"/>
      <sheetName val="затрат"/>
      <sheetName val="Ratios"/>
      <sheetName val="Common-Size"/>
      <sheetName val="FCF"/>
      <sheetName val="Schedules"/>
      <sheetName val="Proj. Bal."/>
      <sheetName val="Steel reorganization"/>
      <sheetName val="CAPEX"/>
      <sheetName val="Sensitivity analysis"/>
      <sheetName val="Plan_acc"/>
      <sheetName val="НТМК"/>
      <sheetName val="17.1_свемка IC_Баланс"/>
      <sheetName val="manag_balance"/>
      <sheetName val="Движение_РСД"/>
      <sheetName val="Справочник_видов_затрат_"/>
      <sheetName val="Список_ЕАХ"/>
      <sheetName val="Справочник_2013"/>
      <sheetName val="new_Справочник_2014"/>
      <sheetName val="Справочник_2014"/>
      <sheetName val="Справочник_с_01_05_2015"/>
      <sheetName val="Справочник_2015"/>
      <sheetName val="Reimb_cost-support_docs_mat"/>
      <sheetName val="Проект2002"/>
      <sheetName val="Бизнес план"/>
      <sheetName val="Service"/>
      <sheetName val="Навигатор"/>
      <sheetName val="ЦФО"/>
      <sheetName val="Статьи БДР"/>
      <sheetName val="Справочник с 01.01.20"/>
      <sheetName val="Indice Precos Mes"/>
      <sheetName val="ЗСМК (2)"/>
      <sheetName val="т"/>
      <sheetName val="Ав (закупка, услуги)"/>
      <sheetName val="БДДС год"/>
      <sheetName val="ГСМ"/>
      <sheetName val="13,40 Авансы_получ"/>
      <sheetName val="Резерв"/>
      <sheetName val="Произв пок раст 3 "/>
      <sheetName val="Сдача произведен. прод."/>
      <sheetName val="Список группы"/>
      <sheetName val="İNDEX"/>
      <sheetName val="Роли и доли -К"/>
      <sheetName val="Исходный"/>
      <sheetName val="Таблицы 1-5"/>
      <sheetName val="pasiva-skutečnost"/>
      <sheetName val="Global Variables"/>
      <sheetName val="Список ШД"/>
      <sheetName val="Справочник ОЕ"/>
      <sheetName val="Лист8"/>
      <sheetName val="Plan BPC"/>
      <sheetName val="Plan UKT "/>
      <sheetName val="Справ"/>
      <sheetName val="Кедровский"/>
      <sheetName val="Объекты_Подразделения_СтатьиДР"/>
      <sheetName val="KAR10"/>
      <sheetName val="Контакты"/>
      <sheetName val="БДР_УУ"/>
      <sheetName val="кальк. "/>
      <sheetName val="Dados BLP"/>
      <sheetName val="Brazil Sovereign"/>
      <sheetName val="COTAÇÕES"/>
      <sheetName val="BLP"/>
      <sheetName val="bud99"/>
      <sheetName val="Par"/>
      <sheetName val="Reference"/>
      <sheetName val="Ventas"/>
      <sheetName val="Parameters"/>
      <sheetName val="Lists"/>
      <sheetName val="FR"/>
      <sheetName val="Library"/>
      <sheetName val="STARTSHEET"/>
      <sheetName val="REALxMETA - CERVEJA"/>
      <sheetName val="Unidades SAC-REVENDA"/>
      <sheetName val="FX-Rates"/>
      <sheetName val="Menu"/>
      <sheetName val="Setting"/>
      <sheetName val="dep pre"/>
      <sheetName val="Front"/>
      <sheetName val="Версия"/>
      <sheetName val="Инструкция"/>
      <sheetName val="Расчет цикла"/>
      <sheetName val="Диаграмма"/>
      <sheetName val="Главный лист"/>
      <sheetName val="Уборки"/>
      <sheetName val="Рецепты партий"/>
      <sheetName val="Рецепты"/>
      <sheetName val="Переменные"/>
      <sheetName val="Тоннаж из графика"/>
      <sheetName val="Операции"/>
      <sheetName val="Количество"/>
      <sheetName val="Прод-ть"/>
      <sheetName val="POCE"/>
      <sheetName val="Empresas"/>
      <sheetName val="Participantes"/>
      <sheetName val="brand definitions"/>
      <sheetName val="plant"/>
      <sheetName val="MOL"/>
      <sheetName val="PREMISAS"/>
      <sheetName val="Eviews_Suporte"/>
      <sheetName val="Calc 1"/>
      <sheetName val="база_IND"/>
      <sheetName val="база_SKU"/>
      <sheetName val="алгоритм"/>
      <sheetName val="ЗАТРАТЫ"/>
      <sheetName val="ФИН_БЮДЖЕТ"/>
      <sheetName val="ОТГРУЗКА_ПП"/>
      <sheetName val="БЮДЖЕТ_ПК"/>
      <sheetName val="БЮДЖЕТ_ПМ"/>
      <sheetName val="БЮДЖЕТ_ТЗК"/>
      <sheetName val="СТАТЬИ_БЮДЖЕТА"/>
      <sheetName val="Group_Comparative_GAAP3"/>
      <sheetName val="Group_Comparative_IAS3"/>
      <sheetName val="R-U_IAS_History3"/>
      <sheetName val="Cash_Flow_Working3"/>
      <sheetName val="TB_GAAP3"/>
      <sheetName val="TB_IAS3"/>
      <sheetName val="Income_Statement3"/>
      <sheetName val="Balance_Sheet3"/>
      <sheetName val="Cash_Flow3"/>
      <sheetName val="G-I-F_Total3"/>
      <sheetName val="G-I-F_(RU)3"/>
      <sheetName val="G-I-F_(UA)3"/>
      <sheetName val="FLash_IAS3"/>
      <sheetName val="Cash_Flow_support3"/>
      <sheetName val="Income_Statement_Russia_and_Uk3"/>
      <sheetName val="Class_A_Shares_Outstanding3"/>
      <sheetName val="Class_B_Shares_Outstanding3"/>
      <sheetName val="Dilutive_Shares_Outstanding3"/>
      <sheetName val="EPS_Working3"/>
      <sheetName val="Share_Price_20023"/>
      <sheetName val="RE_Working3"/>
      <sheetName val="Change_of_Equity3"/>
      <sheetName val="коэф_3"/>
      <sheetName val="GAAP_&amp;_IAS_Group_TB_&amp;_Reports_3"/>
      <sheetName val="Cover_&amp;_Parameters3"/>
      <sheetName val="Blédina_cumul1"/>
      <sheetName val="Сценарные_условия1"/>
      <sheetName val="таблица_по_договорам"/>
      <sheetName val="Прямые затраты январь"/>
      <sheetName val="FitOutConfCentre"/>
      <sheetName val="Правила"/>
      <sheetName val="Корректировка на район"/>
      <sheetName val="WIP"/>
      <sheetName val="Validation"/>
      <sheetName val="Selection Lists"/>
      <sheetName val="progr"/>
      <sheetName val="Dados_BLP"/>
      <sheetName val="Brazil_Sovereign"/>
      <sheetName val="REALxMETA_-_CERVEJA"/>
      <sheetName val="Unidades_SAC-REVENDA"/>
      <sheetName val="dep_pre"/>
      <sheetName val="Расчет_цикла"/>
      <sheetName val="Главный_лист"/>
      <sheetName val="Рецепты_партий"/>
      <sheetName val="Тоннаж_из_графика"/>
      <sheetName val="brand_definitions"/>
      <sheetName val="Dados_BLP1"/>
      <sheetName val="Brazil_Sovereign1"/>
      <sheetName val="REALxMETA_-_CERVEJA1"/>
      <sheetName val="Unidades_SAC-REVENDA1"/>
      <sheetName val="dep_pre1"/>
      <sheetName val="Расчет_цикла1"/>
      <sheetName val="Главный_лист1"/>
      <sheetName val="Рецепты_партий1"/>
      <sheetName val="Тоннаж_из_графика1"/>
      <sheetName val="brand_definitions1"/>
      <sheetName val="Step2_Correlation"/>
      <sheetName val="Step2_Histogram"/>
      <sheetName val="C90_NET"/>
      <sheetName val="Справочник подразделений"/>
      <sheetName val="статусные"/>
      <sheetName val="Водитель-машина"/>
      <sheetName val="НСИ"/>
      <sheetName val="Перечень"/>
      <sheetName val="Group_Comparative_GAAP4"/>
      <sheetName val="Group_Comparative_IAS4"/>
      <sheetName val="R-U_IAS_History4"/>
      <sheetName val="Cash_Flow_Working4"/>
      <sheetName val="TB_GAAP4"/>
      <sheetName val="TB_IAS4"/>
      <sheetName val="Income_Statement4"/>
      <sheetName val="Balance_Sheet4"/>
      <sheetName val="Cash_Flow4"/>
      <sheetName val="G-I-F_Total4"/>
      <sheetName val="G-I-F_(RU)4"/>
      <sheetName val="G-I-F_(UA)4"/>
      <sheetName val="FLash_IAS4"/>
      <sheetName val="Cash_Flow_support4"/>
      <sheetName val="Income_Statement_Russia_and_Uk4"/>
      <sheetName val="Class_A_Shares_Outstanding4"/>
      <sheetName val="Class_B_Shares_Outstanding4"/>
      <sheetName val="Dilutive_Shares_Outstanding4"/>
      <sheetName val="EPS_Working4"/>
      <sheetName val="Share_Price_20024"/>
      <sheetName val="RE_Working4"/>
      <sheetName val="Change_of_Equity4"/>
      <sheetName val="БДДС_month_(ф)2"/>
      <sheetName val="БДДС_month_(п)2"/>
      <sheetName val="КВ_20082"/>
      <sheetName val="ф_122"/>
      <sheetName val="коэф_4"/>
      <sheetName val="GAAP_&amp;_IAS_Group_TB_&amp;_Reports_4"/>
      <sheetName val="Cover_&amp;_Parameters4"/>
      <sheetName val="2_Параметры2"/>
      <sheetName val="Справочник_предприятий2"/>
      <sheetName val="Справочник_статей_бюджета2"/>
      <sheetName val="Проверочная_вкладка2"/>
      <sheetName val="Проверочная_вкладка_для_PL2"/>
      <sheetName val="Blédina_cumul2"/>
      <sheetName val="Сценарные_условия2"/>
      <sheetName val="таблица_по_договорам1"/>
      <sheetName val="Cover___Parameters"/>
      <sheetName val="расшифровка кодов"/>
      <sheetName val="LE plans"/>
      <sheetName val="Data for lists"/>
      <sheetName val="Data_Validation"/>
      <sheetName val="LE_plans"/>
      <sheetName val="Wages"/>
      <sheetName val="Bridge GM BYN"/>
      <sheetName val="TES픀ԯ_x0000_"/>
      <sheetName val="Scenario Manager"/>
      <sheetName val="SR3"/>
      <sheetName val="Статьи_пост_затрат1"/>
      <sheetName val="Движение_РСД1"/>
      <sheetName val="Справочник_видов_затрат_1"/>
      <sheetName val="Список_ЕАХ1"/>
      <sheetName val="Справочник_20131"/>
      <sheetName val="new_Справочник_20141"/>
      <sheetName val="Справочник_20141"/>
      <sheetName val="Справочник_с_01_05_20151"/>
      <sheetName val="Справочник_20151"/>
      <sheetName val="Reimb_cost-support_docs_mat1"/>
      <sheetName val="Contracts_add_attributes"/>
      <sheetName val="Продажи_реальные_и_прогноз_20_1"/>
      <sheetName val="исход__дан_"/>
      <sheetName val="Inputs_Sheet1"/>
      <sheetName val="Master_Inputs_Start_here"/>
      <sheetName val="Brew_rub"/>
      <sheetName val="Структура_ПП"/>
      <sheetName val="СводТК_(БПУ)"/>
      <sheetName val="сах_св"/>
      <sheetName val="оз_пш"/>
      <sheetName val="яр_пш"/>
      <sheetName val="яр_яч"/>
      <sheetName val="оз_яч"/>
      <sheetName val="пив_яч"/>
      <sheetName val="оз_рожь"/>
      <sheetName val="кук_зер"/>
      <sheetName val="кук_сил"/>
      <sheetName val="мн_тр"/>
      <sheetName val="одн_тр"/>
      <sheetName val="оз_рыж"/>
      <sheetName val="яр_рыж"/>
      <sheetName val="Birim_Fiyatlar"/>
      <sheetName val="Kar_Oranlari"/>
      <sheetName val="Birim_Fiyat_Analizi"/>
      <sheetName val="Endirekt_Kadro"/>
      <sheetName val="4__C-F"/>
      <sheetName val="Компании_группы"/>
      <sheetName val="IF_(10)"/>
      <sheetName val="Ф-расх_часть"/>
      <sheetName val="Справочник_с_01_02_2017"/>
      <sheetName val="Исх__данные"/>
      <sheetName val="1_411_1"/>
      <sheetName val="1,3_новая"/>
      <sheetName val="PD_5_2"/>
      <sheetName val="PD_5_1"/>
      <sheetName val="Итог_по_НПО_"/>
      <sheetName val="Баланс_(Ф1)"/>
      <sheetName val="1_401_2"/>
      <sheetName val="3_3_31_"/>
      <sheetName val="Database_(RUR)Mar_YTD"/>
      <sheetName val="4__NWABC"/>
      <sheetName val="СП_Ед__изм"/>
      <sheetName val="ПРИЛОЖЕНИЕ_2"/>
      <sheetName val="Классификатор_затрат"/>
      <sheetName val="Taşeron_Endireği"/>
      <sheetName val="справочник_доп__аналитики"/>
      <sheetName val="1_1_Vol"/>
      <sheetName val="11_Проч__ФР"/>
      <sheetName val="12__CAPEX"/>
      <sheetName val="12_1__CAPEX_Д_"/>
      <sheetName val="12_2__CAPEX_Р_"/>
      <sheetName val="17_1_сверка_IC_Баланс"/>
      <sheetName val="6_1_сверка_IC_БДР"/>
      <sheetName val="18_УУ_корр"/>
      <sheetName val="18_1_Кагат-е"/>
      <sheetName val="15_2_компании"/>
      <sheetName val="16_3_БДР"/>
      <sheetName val="16_4_Баланс"/>
      <sheetName val="25_Стр-ра_ГК"/>
      <sheetName val="КОНТРОЛЬ_PL"/>
      <sheetName val="КОНТРОЛЬ_BS"/>
      <sheetName val="РС_"/>
      <sheetName val="Жом_НИ"/>
      <sheetName val="Жом_по_мес_"/>
      <sheetName val="Меласса_НИ"/>
      <sheetName val="Меласса_по_мес_"/>
      <sheetName val="Рафинат_НИ"/>
      <sheetName val="Рафинат_по_мес_"/>
      <sheetName val="Sales_month"/>
      <sheetName val="Sales_YTD"/>
      <sheetName val="B2B_Sugar"/>
      <sheetName val="B2C_Sugar"/>
      <sheetName val="B2C_Cereal"/>
      <sheetName val="LBO_Model"/>
      <sheetName val="1_Расчет-отчет_"/>
      <sheetName val="1_Расчет-отчет__(2)"/>
      <sheetName val="1_Расчет-отчет_Consumer"/>
      <sheetName val="Ilgili_Atasman"/>
      <sheetName val="08-Ekipman_Back-Up"/>
      <sheetName val="Cost_BOQ"/>
      <sheetName val="16_Veri_Bankası_ve_Kabuller"/>
      <sheetName val="05_Detay"/>
      <sheetName val="13-Genel_Gider_Back-up"/>
      <sheetName val="15_5-Betonarme_Maliyet_Atasman"/>
      <sheetName val="11_Ekipman_Back-up"/>
      <sheetName val="09_İscilik_Back-up"/>
      <sheetName val="08_Proje&amp;Malzeme_Back-up"/>
      <sheetName val="10_Taseron_Back-up"/>
      <sheetName val="03_Kontrat_Bilgileri"/>
      <sheetName val="14-Demirbas_Back-up"/>
      <sheetName val="01_Kapak"/>
      <sheetName val="Concrete_Cost_Sheet"/>
      <sheetName val="Skla_Muko"/>
      <sheetName val="17_УО_(2)"/>
      <sheetName val="на_1_тн"/>
      <sheetName val="Пр-во_Ф_(2)"/>
      <sheetName val="Дерево_РБ-1_"/>
      <sheetName val="Корма_РБ-1"/>
      <sheetName val="Дерево_РБ_2_к_БП"/>
      <sheetName val="пост_админ_РБ_2"/>
      <sheetName val="переменные_РБ_2"/>
      <sheetName val="перем,_пост_админ"/>
      <sheetName val="надой_РБ_1"/>
      <sheetName val="переменные_РБ_1"/>
      <sheetName val="постоянные_РБ_1"/>
      <sheetName val="административные_РБ_1_"/>
      <sheetName val="Цели_и_задачи"/>
      <sheetName val="Произ_показ_РБ_1"/>
      <sheetName val="PwP_13_(2)"/>
      <sheetName val="PwP_13_РБ_1"/>
      <sheetName val="Корма_РБ2_расш"/>
      <sheetName val="структура_мясо_РБ"/>
      <sheetName val="Пр-во_(2)"/>
      <sheetName val="19_УО_(2)"/>
      <sheetName val="Дерево_НИ_РБ(по_БУ)"/>
      <sheetName val="Продажи_(мес_)"/>
      <sheetName val="_ФА_месяц"/>
      <sheetName val="структура_мясо_мес"/>
      <sheetName val="структура_мясо_НИ"/>
      <sheetName val="на_1тн_Ф"/>
      <sheetName val="PwP_13_(3)"/>
      <sheetName val="_ФА_НИ"/>
      <sheetName val="4_БДР_с_Упр_кор"/>
      <sheetName val="21_1_УО"/>
      <sheetName val="21_2_УО"/>
      <sheetName val="Категории_льгот"/>
      <sheetName val="2_1_ФОТ_и_страховые_взносы"/>
      <sheetName val="1_3_ФОТ_и_страховые_взносы"/>
      <sheetName val="Proj__Bal_"/>
      <sheetName val="Steel_reorganization"/>
      <sheetName val="Sensitivity_analysis"/>
      <sheetName val="Natl_Consult_Reg_"/>
      <sheetName val="Бизнес_план"/>
      <sheetName val="Indice_Precos_Mes"/>
      <sheetName val="Откл__по_фин__рез"/>
      <sheetName val="09.İscilik Back-萹ă"/>
      <sheetName val="09.İscilik Back-⏬枤"/>
      <sheetName val="TES픀ԯ"/>
      <sheetName val="Cash2"/>
      <sheetName val="Z"/>
      <sheetName val="Bilgi"/>
      <sheetName val="Parametre"/>
      <sheetName val="Inputs"/>
      <sheetName val="OpCo DCF"/>
      <sheetName val="VCo Assumptions"/>
      <sheetName val="CoverPage"/>
      <sheetName val="Combined PL"/>
      <sheetName val="Definitions"/>
      <sheetName val="Haendel"/>
      <sheetName val="1.1"/>
      <sheetName val="Ежемесячный отчет"/>
      <sheetName val="Настройки"/>
      <sheetName val="RSOILBAL"/>
      <sheetName val="Set"/>
      <sheetName val="Настройка"/>
      <sheetName val="путе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/>
      <sheetData sheetId="573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/>
      <sheetData sheetId="665"/>
      <sheetData sheetId="666"/>
      <sheetData sheetId="667" refreshError="1"/>
      <sheetData sheetId="668"/>
      <sheetData sheetId="669"/>
      <sheetData sheetId="670"/>
      <sheetData sheetId="671"/>
      <sheetData sheetId="672"/>
      <sheetData sheetId="673"/>
      <sheetData sheetId="674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 refreshError="1"/>
      <sheetData sheetId="799" refreshError="1"/>
      <sheetData sheetId="800" refreshError="1"/>
      <sheetData sheetId="801"/>
      <sheetData sheetId="802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5.05"/>
      <sheetName val="06.05"/>
      <sheetName val="Календарь"/>
      <sheetName val="Оплата выполнения"/>
      <sheetName val="Оплата по графикам"/>
      <sheetName val="Депозиты"/>
      <sheetName val="Аудит и инкассация"/>
      <sheetName val="Непроизводственные"/>
      <sheetName val="07.05"/>
      <sheetName val="08.05"/>
      <sheetName val="12.05"/>
      <sheetName val="13.0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-ЛССМУ"/>
      <sheetName val="Лист1мфтц"/>
      <sheetName val="Лист1-ЦУН"/>
      <sheetName val="Лист4"/>
      <sheetName val="Лист3"/>
      <sheetName val="Лист4 ПКП"/>
      <sheetName val="Лист3 ПКП"/>
      <sheetName val="ЛистПКП"/>
      <sheetName val="Лист2"/>
      <sheetName val="Лист5"/>
      <sheetName val="до 2001г"/>
      <sheetName val="юрист"/>
      <sheetName val="Должн.на 15.04.03"/>
      <sheetName val="невск"/>
      <sheetName val=" МФТЦ"/>
      <sheetName val="Реклама,Лист1"/>
      <sheetName val="Встр.,Говоров"/>
      <sheetName val="Встр.Говоров,Лист3"/>
      <sheetName val="Лист1"/>
      <sheetName val="должн"/>
      <sheetName val="должники,лист1"/>
      <sheetName val="В.О., МФТЦ, квартал 3АII, корпу"/>
      <sheetName val="В.О"/>
      <sheetName val="Оплата по графикам"/>
      <sheetName val="Лист4_ПКП"/>
      <sheetName val="Лист3_ПКП"/>
      <sheetName val="до_2001г"/>
      <sheetName val="Должн_на_15_04_03"/>
      <sheetName val="_МФТЦ"/>
      <sheetName val="Встр_,Говоров"/>
      <sheetName val="Встр_Говоров,Лист3"/>
      <sheetName val="В_О_,_МФТЦ,_квартал_3АII,_корпу"/>
      <sheetName val="В_О"/>
      <sheetName val="Оплата_по_графикам"/>
      <sheetName val="Лист4_ПКП1"/>
      <sheetName val="Лист3_ПКП1"/>
      <sheetName val="до_2001г1"/>
      <sheetName val="Должн_на_15_04_031"/>
      <sheetName val="_МФТЦ1"/>
      <sheetName val="Встр_,Говоров1"/>
      <sheetName val="Встр_Говоров,Лист31"/>
      <sheetName val="В_О_,_МФТЦ,_квартал_3АII,_корп1"/>
      <sheetName val="В_О1"/>
      <sheetName val="Оплата_по_графикам1"/>
      <sheetName val="Лист4_ПКП2"/>
      <sheetName val="Лист3_ПКП2"/>
      <sheetName val="до_2001г2"/>
      <sheetName val="Должн_на_15_04_032"/>
      <sheetName val="_МФТЦ2"/>
      <sheetName val="Встр_,Говоров2"/>
      <sheetName val="Встр_Говоров,Лист32"/>
      <sheetName val="В_О_,_МФТЦ,_квартал_3АII,_корп2"/>
      <sheetName val="В_О2"/>
      <sheetName val="Оплата_по_графикам2"/>
      <sheetName val="Лист4_ПКП3"/>
      <sheetName val="Лист3_ПКП3"/>
      <sheetName val="до_2001г3"/>
      <sheetName val="Должн_на_15_04_033"/>
      <sheetName val="_МФТЦ3"/>
      <sheetName val="Встр_,Говоров3"/>
      <sheetName val="Встр_Говоров,Лист33"/>
      <sheetName val="В_О_,_МФТЦ,_квартал_3АII,_корп3"/>
      <sheetName val="В_О3"/>
      <sheetName val="Оплата_по_графикам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внутр. оценка"/>
      <sheetName val="коэф.анализ"/>
      <sheetName val="Модуль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Корпуса"/>
      <sheetName val="График затрат 1 оч."/>
      <sheetName val="График затрат 2 оч."/>
      <sheetName val="План продаж"/>
      <sheetName val="Модель продаж"/>
      <sheetName val="ПДР"/>
      <sheetName val="ПДДС"/>
      <sheetName val="Показатели"/>
      <sheetName val="IRRотеч"/>
      <sheetName val="IRRиностр"/>
      <sheetName val="График_затрат_1_оч_"/>
      <sheetName val="График_затрат_2_оч_"/>
      <sheetName val="План_продаж"/>
      <sheetName val="Модель_продаж"/>
      <sheetName val="График_затрат_1_оч_1"/>
      <sheetName val="График_затрат_2_оч_1"/>
      <sheetName val="План_продаж1"/>
      <sheetName val="Модель_продаж1"/>
      <sheetName val="График_затрат_1_оч_2"/>
      <sheetName val="График_затрат_2_оч_2"/>
      <sheetName val="План_продаж2"/>
      <sheetName val="Модель_продаж2"/>
      <sheetName val="График_затрат_1_оч_3"/>
      <sheetName val="График_затрат_2_оч_3"/>
      <sheetName val="План_продаж3"/>
      <sheetName val="Модель_продаж3"/>
      <sheetName val="Лист4"/>
      <sheetName val="Сводная ЛССМУ"/>
      <sheetName val="Черновик"/>
      <sheetName val="pricesummary"/>
      <sheetName val="квартирограмма"/>
      <sheetName val="гр+"/>
      <sheetName val="ВводД"/>
      <sheetName val="Сводный-затраты"/>
      <sheetName val="summary"/>
      <sheetName val="Лист1-ЛССМУ"/>
      <sheetName val="HUD YOLU DUVAR 8 MT"/>
      <sheetName val="finansal tamamlanma eğrisi"/>
      <sheetName val="TABLO-3"/>
      <sheetName val="ELEC F031-3(ANLZ)"/>
      <sheetName val="lob"/>
      <sheetName val="свод"/>
      <sheetName val="каскад,5"/>
      <sheetName val="бог"/>
      <sheetName val="мфтц,к.4"/>
      <sheetName val="POW"/>
      <sheetName val="cur_projects pl"/>
      <sheetName val="Таблица"/>
      <sheetName val="Breakdown CAPEX (PBC)"/>
      <sheetName val="Narratives-Subsidiarie"/>
      <sheetName val="inputs"/>
      <sheetName val="График_затрат_1_оч_4"/>
      <sheetName val="График_затрат_2_оч_4"/>
      <sheetName val="План_продаж4"/>
      <sheetName val="Модель_продаж4"/>
      <sheetName val="Сводная_ЛССМУ"/>
      <sheetName val="мфтц,к_4"/>
      <sheetName val="HUD_YOLU_DUVAR_8_MT"/>
      <sheetName val="finansal_tamamlanma_eğrisi"/>
      <sheetName val="ELEC_F031-3(ANLZ)"/>
      <sheetName val="cur_projects_pl"/>
      <sheetName val="Breakdown_CAPEX_(PBC)"/>
      <sheetName val="баланс95"/>
      <sheetName val="ИД"/>
      <sheetName val="은행"/>
      <sheetName val="Отчет о реализации площадей"/>
      <sheetName val="input data"/>
      <sheetName val="comps"/>
      <sheetName val="Scenar"/>
      <sheetName val="C.1.D.1.РСП"/>
      <sheetName val="№1_Отчет о реализации площадей"/>
      <sheetName val="oil "/>
      <sheetName val="beer"/>
      <sheetName val="mobile "/>
      <sheetName val="energy "/>
      <sheetName val="metal "/>
      <sheetName val="telecom "/>
      <sheetName val="airlines"/>
      <sheetName val="oil-shipping"/>
      <sheetName val="banking"/>
      <sheetName val="consumer&amp;retail"/>
      <sheetName val="1.1 Inputs"/>
      <sheetName val="2.1 СF_КП_базовая"/>
      <sheetName val="Master Inputs Start Here"/>
      <sheetName val="sheet1"/>
      <sheetName val="TEPs"/>
      <sheetName val="кедровский"/>
      <sheetName val="Стоимости"/>
      <sheetName val="График_затрат_1_оч_5"/>
      <sheetName val="График_затрат_2_оч_5"/>
      <sheetName val="План_продаж5"/>
      <sheetName val="Модель_продаж5"/>
      <sheetName val="Сводная_ЛССМУ1"/>
      <sheetName val="мфтц,к_41"/>
      <sheetName val="cur_projects_pl1"/>
      <sheetName val="HUD_YOLU_DUVAR_8_MT1"/>
      <sheetName val="finansal_tamamlanma_eğrisi1"/>
      <sheetName val="ELEC_F031-3(ANLZ)1"/>
      <sheetName val="Breakdown_CAPEX_(PBC)1"/>
      <sheetName val="Отчет_о_реализации_площадей"/>
      <sheetName val="1 секц полы старая"/>
      <sheetName val="1 секц полы консъерж"/>
      <sheetName val="1 секц отд консъерж"/>
      <sheetName val="2 секц полы старые"/>
      <sheetName val="гараж 4.4 техпом"/>
      <sheetName val="3 секц отд лестниц"/>
      <sheetName val="1 секц лестницы в гараж"/>
      <sheetName val="2 секц лестницы в гараже"/>
      <sheetName val="1 секц отд"/>
      <sheetName val="цоколь 4.1"/>
      <sheetName val="откосы доп"/>
      <sheetName val="объемы 2 сек"/>
      <sheetName val="гараж 4.4 отделка"/>
      <sheetName val="1.Список"/>
      <sheetName val="справочники"/>
      <sheetName val="КУРС"/>
      <sheetName val="Векселя"/>
      <sheetName val="Карта"/>
      <sheetName val="Касса"/>
      <sheetName val="Р_счет"/>
      <sheetName val="График_затрат_1_оч_6"/>
      <sheetName val="График_затрат_2_оч_6"/>
      <sheetName val="План_продаж6"/>
      <sheetName val="Модель_продаж6"/>
      <sheetName val="Сводная_ЛССМУ2"/>
      <sheetName val="мфтц,к_42"/>
      <sheetName val="HUD_YOLU_DUVAR_8_MT2"/>
      <sheetName val="finansal_tamamlanma_eğrisi2"/>
      <sheetName val="ELEC_F031-3(ANLZ)2"/>
      <sheetName val="cur_projects_pl2"/>
      <sheetName val="Breakdown_CAPEX_(PBC)2"/>
      <sheetName val="Отчет_о_реализации_площадей1"/>
      <sheetName val="C_1_D_1_РСП"/>
      <sheetName val="№1_Отчет_о_реализации_площадей"/>
      <sheetName val="oil_"/>
      <sheetName val="mobile_"/>
      <sheetName val="energy_"/>
      <sheetName val="metal_"/>
      <sheetName val="telecom_"/>
      <sheetName val="input_data"/>
      <sheetName val="1_1_Inputs"/>
      <sheetName val="2_1_СF_КП_базовая"/>
      <sheetName val="Master_Inputs_Start_Here"/>
      <sheetName val="сводная"/>
      <sheetName val="лссму"/>
      <sheetName val="Сроки"/>
      <sheetName val="Имя"/>
      <sheetName val="fitoutconfcentre"/>
      <sheetName val="cus_HK1033"/>
    </sheetNames>
    <sheetDataSet>
      <sheetData sheetId="0" refreshError="1">
        <row r="17">
          <cell r="B17">
            <v>0.18</v>
          </cell>
        </row>
        <row r="18">
          <cell r="B18">
            <v>0.18</v>
          </cell>
        </row>
        <row r="21">
          <cell r="B21">
            <v>0.12</v>
          </cell>
        </row>
        <row r="22">
          <cell r="B22">
            <v>0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/>
      <sheetData sheetId="67" refreshError="1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TI"/>
      <sheetName val="В отчет - прочее"/>
      <sheetName val="В отчет - общие части"/>
      <sheetName val="Сценарии"/>
      <sheetName val="Вопросы"/>
      <sheetName val="Fixed_Assets"/>
      <sheetName val="Оборачиваемость"/>
      <sheetName val="Выручка_себестоимость сценарии"/>
      <sheetName val="DCF_v-1"/>
      <sheetName val="Прогноз прочих доходов"/>
      <sheetName val="Прогноз прочих расходов"/>
      <sheetName val="WACC"/>
      <sheetName val="Прогноз g"/>
      <sheetName val="Прогнозы&gt;&gt;&gt;"/>
      <sheetName val="Прогноз СС"/>
      <sheetName val="Прогноз изменения цен"/>
      <sheetName val="Урожайность - ЕМИСС"/>
      <sheetName val="Цена - ЕМИСС"/>
      <sheetName val="Степь&gt;&gt;&gt;"/>
      <sheetName val="Аналитика по Степи"/>
      <sheetName val="Структура площадей"/>
      <sheetName val="БДР"/>
      <sheetName val="Выручка"/>
      <sheetName val="Себестоимость"/>
      <sheetName val="в т.ч. налоги"/>
      <sheetName val="Коммерческие расходы"/>
      <sheetName val="Прочие доходы"/>
      <sheetName val="Прочие расходы"/>
      <sheetName val="Бюджет 2016"/>
      <sheetName val="WACC&gt;&gt;&gt;"/>
      <sheetName val="Амортизация"/>
      <sheetName val="Market_premium_data"/>
      <sheetName val="Beta US"/>
      <sheetName val="Size premium"/>
      <sheetName val="Спец риски"/>
    </sheetNames>
    <sheetDataSet>
      <sheetData sheetId="0"/>
      <sheetData sheetId="1"/>
      <sheetData sheetId="2"/>
      <sheetData sheetId="3"/>
      <sheetData sheetId="4"/>
      <sheetData sheetId="5"/>
      <sheetData sheetId="6">
        <row r="4063">
          <cell r="D4063">
            <v>193556000</v>
          </cell>
        </row>
      </sheetData>
      <sheetData sheetId="7">
        <row r="160">
          <cell r="A160" t="str">
            <v>Доля реализации в объеме в валовом сборе</v>
          </cell>
        </row>
      </sheetData>
      <sheetData sheetId="8">
        <row r="169">
          <cell r="H169">
            <v>0.2097791195459994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Лист3"/>
    </sheetNames>
    <sheetDataSet>
      <sheetData sheetId="0"/>
      <sheetData sheetId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.04"/>
      <sheetName val="02.04"/>
      <sheetName val="03.04"/>
      <sheetName val="04.04"/>
      <sheetName val="07.04"/>
      <sheetName val="08.04"/>
      <sheetName val="09.04"/>
      <sheetName val="10.04"/>
      <sheetName val="11.04"/>
      <sheetName val="14.04"/>
      <sheetName val="15.04"/>
      <sheetName val="16.04"/>
      <sheetName val="17.04"/>
      <sheetName val="18.04"/>
      <sheetName val="21.04"/>
      <sheetName val="22.04"/>
      <sheetName val="23.04"/>
      <sheetName val="24.04"/>
      <sheetName val="25.04"/>
      <sheetName val="28.04"/>
      <sheetName val="29.04"/>
      <sheetName val="30.04"/>
      <sheetName val="Календарь"/>
      <sheetName val="Оплата выполнения"/>
      <sheetName val="Оплата по графикам"/>
      <sheetName val="Депозиты"/>
      <sheetName val="Аудит и инкассация"/>
      <sheetName val="Непроизводствен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>
        <row r="6">
          <cell r="L6" t="str">
            <v>Сводный график по Мосмева</v>
          </cell>
        </row>
        <row r="108">
          <cell r="B108" t="str">
            <v>Лизинг</v>
          </cell>
        </row>
        <row r="137">
          <cell r="B137" t="str">
            <v>Кредит в Балтонэксиме</v>
          </cell>
        </row>
        <row r="184">
          <cell r="B184" t="str">
            <v>Лизинг телеком</v>
          </cell>
        </row>
      </sheetData>
      <sheetData sheetId="25" refreshError="1"/>
      <sheetData sheetId="26" refreshError="1"/>
      <sheetData sheetId="27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Корпуса"/>
      <sheetName val="график затрат"/>
      <sheetName val="План продаж"/>
      <sheetName val="ПДР"/>
      <sheetName val="ПДДС"/>
      <sheetName val="Показатели"/>
      <sheetName val="IRRотеч"/>
      <sheetName val="IRRиностр"/>
      <sheetName val="Оплата по графикам"/>
      <sheetName val="Сводный-затраты"/>
      <sheetName val="каскад,5"/>
      <sheetName val="бог"/>
      <sheetName val="мфтц,к.4"/>
      <sheetName val="Расчёт 2005"/>
      <sheetName val="ТЭО Гражданка Сити10млн"/>
      <sheetName val="cur_projects pl"/>
      <sheetName val="спр (2)"/>
      <sheetName val="Лист1-ЛССМУ"/>
      <sheetName val="гр+"/>
      <sheetName val="ВводД"/>
      <sheetName val="POW"/>
      <sheetName val="график_затрат"/>
      <sheetName val="План_продаж"/>
      <sheetName val="мфтц,к_4"/>
      <sheetName val="Оплата_по_графикам"/>
      <sheetName val="Расчёт_2005"/>
      <sheetName val="ТЭО_Гражданка_Сити10млн"/>
      <sheetName val="cur_projects_pl"/>
      <sheetName val="спр_(2)"/>
      <sheetName val="Черновик"/>
      <sheetName val="_Ф2"/>
      <sheetName val="Отчет о реализации площадей"/>
      <sheetName val="input data"/>
      <sheetName val="other software vcr"/>
      <sheetName val="сводная лссму"/>
      <sheetName val="cost-tz"/>
      <sheetName val="Сводный лист"/>
      <sheetName val="график_затрат1"/>
      <sheetName val="План_продаж1"/>
      <sheetName val="Оплата_по_графикам1"/>
      <sheetName val="мфтц,к_41"/>
      <sheetName val="Расчёт_20051"/>
      <sheetName val="ТЭО_Гражданка_Сити10млн1"/>
      <sheetName val="спр_(2)1"/>
      <sheetName val="cur_projects_pl1"/>
      <sheetName val="Narratives-Subsidiarie"/>
      <sheetName val="inputs"/>
      <sheetName val="РС котлован"/>
      <sheetName val="Данные по проекту"/>
      <sheetName val="Лист5"/>
      <sheetName val="Справочник Статей затрат"/>
      <sheetName val="график_затрат2"/>
      <sheetName val="План_продаж2"/>
      <sheetName val="Оплата_по_графикам2"/>
      <sheetName val="мфтц,к_42"/>
      <sheetName val="ТЭО_Гражданка_Сити10млн2"/>
      <sheetName val="Расчёт_20052"/>
      <sheetName val="спр_(2)2"/>
      <sheetName val="cur_projects_pl2"/>
      <sheetName val="input_data"/>
      <sheetName val="other_software_vcr"/>
      <sheetName val="сводная_лссму"/>
      <sheetName val="Сводный_лист"/>
      <sheetName val="Отчет_о_реализации_площадей"/>
      <sheetName val="смета_юшина"/>
      <sheetName val="кедровский"/>
      <sheetName val="Стоимости"/>
      <sheetName val="B03"/>
      <sheetName val="Breakdown CAPEX (PBC)"/>
      <sheetName val="Scenar"/>
    </sheetNames>
    <sheetDataSet>
      <sheetData sheetId="0" refreshError="1">
        <row r="24">
          <cell r="B24">
            <v>10000000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Корпуса"/>
      <sheetName val="График затрат"/>
      <sheetName val="План продаж"/>
      <sheetName val="ПДР"/>
      <sheetName val="ПДДС"/>
      <sheetName val="Показатели"/>
      <sheetName val="Лист1-ЛССМУ"/>
      <sheetName val="оплата по графикам"/>
      <sheetName val="смета_юшина"/>
      <sheetName val="лист4"/>
      <sheetName val="Сводный-затраты"/>
      <sheetName val="cur_projects pl"/>
      <sheetName val="Справочник ЦФО"/>
      <sheetName val="каскад,5"/>
      <sheetName val="бог"/>
      <sheetName val="мфтц,к.4"/>
      <sheetName val="Сводная ЛССМУ"/>
      <sheetName val="№1_отчет о реализации площадей"/>
      <sheetName val="График_затрат"/>
      <sheetName val="План_продаж"/>
      <sheetName val="оплата_по_графикам"/>
      <sheetName val="cur_projects_pl"/>
      <sheetName val="Справочник_ЦФО"/>
      <sheetName val="мфтц,к_4"/>
      <sheetName val="Сводная_ЛССМУ"/>
      <sheetName val="№1_отчет_о_реализации_площадей"/>
      <sheetName val="нормативы"/>
      <sheetName val="assump"/>
      <sheetName val="Расчёт 2005"/>
      <sheetName val="Черновик"/>
      <sheetName val="Затраты"/>
      <sheetName val="Стоимости"/>
      <sheetName val="AOP Summary-2"/>
      <sheetName val="Summary"/>
      <sheetName val="График_затрат1"/>
      <sheetName val="План_продаж1"/>
      <sheetName val="оплата_по_графикам1"/>
      <sheetName val="Справочник_ЦФО1"/>
      <sheetName val="мфтц,к_41"/>
      <sheetName val="cur_projects_pl1"/>
      <sheetName val="Сводная_ЛССМУ1"/>
      <sheetName val="№1_отчет_о_реализации_площадей1"/>
      <sheetName val="График_затрат2"/>
      <sheetName val="План_продаж2"/>
      <sheetName val="оплата_по_графикам2"/>
      <sheetName val="мфтц,к_42"/>
      <sheetName val="Справочник_ЦФО2"/>
      <sheetName val="cur_projects_pl2"/>
      <sheetName val="Сводная_ЛССМУ2"/>
      <sheetName val="№1_отчет_о_реализации_площадей2"/>
      <sheetName val="Расчёт_2005"/>
      <sheetName val="AOP_Summary-2"/>
      <sheetName val="fitoutconfcentre"/>
    </sheetNames>
    <sheetDataSet>
      <sheetData sheetId="0" refreshError="1">
        <row r="22">
          <cell r="B22">
            <v>0.05</v>
          </cell>
        </row>
        <row r="24">
          <cell r="B24">
            <v>10000000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писание"/>
      <sheetName val="общие данные"/>
      <sheetName val="сводка по земле"/>
      <sheetName val="земля при пустоте"/>
      <sheetName val="земля при капстр"/>
      <sheetName val="земля при складах"/>
      <sheetName val="фун износ"/>
      <sheetName val="вн_износ"/>
      <sheetName val="сводка по затратам"/>
      <sheetName val="Устранимый износ"/>
      <sheetName val="неустр из кж"/>
      <sheetName val="неустр из дж"/>
      <sheetName val="прибыль предп"/>
      <sheetName val="сводка по приб"/>
      <sheetName val="дисконт"/>
      <sheetName val="доходплощ"/>
      <sheetName val="НИ пл"/>
      <sheetName val="доход80"/>
      <sheetName val="НИ 80"/>
      <sheetName val="доход79"/>
      <sheetName val="НИ 79"/>
      <sheetName val="доход62"/>
      <sheetName val="НИ 62"/>
      <sheetName val="доход4"/>
      <sheetName val="НИ 4"/>
      <sheetName val="4 (2)"/>
      <sheetName val="4"/>
      <sheetName val="62 (2)"/>
      <sheetName val="62"/>
      <sheetName val="79 (2)"/>
      <sheetName val="79"/>
      <sheetName val="80(кирп) (2)"/>
      <sheetName val="80(кирп)"/>
      <sheetName val="80(мет) (2)"/>
      <sheetName val="80(мет)"/>
      <sheetName val="80(бет) (2)"/>
      <sheetName val="80(бет)"/>
      <sheetName val="площадка (2)"/>
      <sheetName val="площадка"/>
      <sheetName val="SFF"/>
      <sheetName val="арендная ставка"/>
      <sheetName val="общая сводка"/>
      <sheetName val="сводка по рыночному методу"/>
      <sheetName val="Корпус 80"/>
      <sheetName val="Корпус 79"/>
      <sheetName val="Корпус 62"/>
      <sheetName val="Корпус 4"/>
      <sheetName val="свед"/>
      <sheetName val="СП_КОМПЛЕКС"/>
      <sheetName val="4.озеленение"/>
      <sheetName val="восст"/>
      <sheetName val="Служебный"/>
      <sheetName val="Финансы"/>
      <sheetName val="общие сведения"/>
      <sheetName val="график строительства"/>
      <sheetName val="Инд"/>
      <sheetName val="Коррект"/>
      <sheetName val="Метод остатка"/>
      <sheetName val="график01.09.02"/>
      <sheetName val="общий"/>
      <sheetName val="2.Продажа квартир"/>
      <sheetName val="6.Продажа квартир"/>
      <sheetName val="3.ЗАТРАТЫ"/>
      <sheetName val="Параметры"/>
      <sheetName val="Исходные"/>
      <sheetName val="Начало"/>
      <sheetName val="ЛитБ"/>
      <sheetName val="Base"/>
      <sheetName val="СП  Здания"/>
      <sheetName val="Содержание"/>
      <sheetName val="3.ЗУ "/>
      <sheetName val="1"/>
      <sheetName val="затр_подх"/>
      <sheetName val="исход-итог"/>
      <sheetName val="Пересчет_Склады"/>
      <sheetName val="Док+Исх"/>
      <sheetName val="КО-Инвест"/>
      <sheetName val="Balance"/>
      <sheetName val="tmpB193"/>
      <sheetName val="Справка"/>
      <sheetName val="Лист1"/>
      <sheetName val="1.10.96"/>
      <sheetName val="Sheet2"/>
      <sheetName val="Литер М"/>
      <sheetName val="Исходные_данные"/>
      <sheetName val="VCURS"/>
      <sheetName val="база"/>
      <sheetName val="Monte-Carlo Data"/>
      <sheetName val=" Assumptions"/>
      <sheetName val="Фин модель"/>
      <sheetName val="затрат_нииэфа1"/>
      <sheetName val="общие_данные"/>
      <sheetName val="сводка_по_земле"/>
      <sheetName val="земля_при_пустоте"/>
      <sheetName val="земля_при_капстр"/>
      <sheetName val="земля_при_складах"/>
      <sheetName val="фун_износ"/>
      <sheetName val="сводка_по_затратам"/>
      <sheetName val="Устранимый_износ"/>
      <sheetName val="неустр_из_кж"/>
      <sheetName val="неустр_из_дж"/>
      <sheetName val="прибыль_предп"/>
      <sheetName val="сводка_по_приб"/>
      <sheetName val="НИ_пл"/>
      <sheetName val="НИ_80"/>
      <sheetName val="НИ_79"/>
      <sheetName val="НИ_62"/>
      <sheetName val="НИ_4"/>
      <sheetName val="4_(2)"/>
      <sheetName val="62_(2)"/>
      <sheetName val="79_(2)"/>
      <sheetName val="80(кирп)_(2)"/>
      <sheetName val="80(мет)_(2)"/>
      <sheetName val="80(бет)_(2)"/>
      <sheetName val="площадка_(2)"/>
      <sheetName val="арендная_ставка"/>
      <sheetName val="общая_сводка"/>
      <sheetName val="сводка_по_рыночному_методу"/>
      <sheetName val="Корпус_80"/>
      <sheetName val="Корпус_79"/>
      <sheetName val="Корпус_62"/>
      <sheetName val="Корпус_4"/>
      <sheetName val="Assum."/>
      <sheetName val="Вх"/>
      <sheetName val="контакт с доп согл"/>
      <sheetName val="СВОД"/>
      <sheetName val="Кэш-фло"/>
      <sheetName val="Коды расх"/>
      <sheetName val="CASH FLOW RUR"/>
      <sheetName val="Tab3"/>
      <sheetName val="FES"/>
      <sheetName val="Осн_данные"/>
      <sheetName val="%%"/>
      <sheetName val="Баз предп"/>
      <sheetName val="Изменения"/>
      <sheetName val="1.14"/>
      <sheetName val="1.10"/>
      <sheetName val="Data USA Cdn$"/>
      <sheetName val="Data USA US$"/>
      <sheetName val="Inputs"/>
      <sheetName val="Стоим._стр-ва"/>
      <sheetName val="Итоги"/>
      <sheetName val="Исходные данные"/>
      <sheetName val="Средняя стоимость"/>
      <sheetName val="Const"/>
      <sheetName val="Расчет офисов-рек"/>
      <sheetName val="общие_данные1"/>
      <sheetName val="сводка_по_земле1"/>
      <sheetName val="земля_при_пустоте1"/>
      <sheetName val="земля_при_капстр1"/>
      <sheetName val="земля_при_складах1"/>
      <sheetName val="фун_износ1"/>
      <sheetName val="сводка_по_затратам1"/>
      <sheetName val="Устранимый_износ1"/>
      <sheetName val="неустр_из_кж1"/>
      <sheetName val="неустр_из_дж1"/>
      <sheetName val="прибыль_предп1"/>
      <sheetName val="сводка_по_приб1"/>
      <sheetName val="НИ_пл1"/>
      <sheetName val="НИ_801"/>
      <sheetName val="НИ_791"/>
      <sheetName val="НИ_621"/>
      <sheetName val="НИ_41"/>
      <sheetName val="4_(2)1"/>
      <sheetName val="62_(2)1"/>
      <sheetName val="79_(2)1"/>
      <sheetName val="80(кирп)_(2)1"/>
      <sheetName val="80(мет)_(2)1"/>
      <sheetName val="80(бет)_(2)1"/>
      <sheetName val="площадка_(2)1"/>
      <sheetName val="арендная_ставка1"/>
      <sheetName val="общая_сводка1"/>
      <sheetName val="сводка_по_рыночному_методу1"/>
      <sheetName val="Корпус_801"/>
      <sheetName val="Корпус_791"/>
      <sheetName val="Корпус_621"/>
      <sheetName val="Корпус_41"/>
      <sheetName val="общие_сведения"/>
      <sheetName val="Метод_остатка"/>
      <sheetName val="4_озеленение"/>
      <sheetName val="график_строительства"/>
      <sheetName val="2_Продажа_квартир"/>
      <sheetName val="6_Продажа_квартир"/>
      <sheetName val="3_ЗАТРАТЫ"/>
      <sheetName val="график01_09_02"/>
      <sheetName val="СП__Здания"/>
      <sheetName val="3_ЗУ_"/>
      <sheetName val="Литер_М"/>
      <sheetName val="1_10_96"/>
      <sheetName val="Исходные_данные1"/>
      <sheetName val="Средняя_стоимость"/>
      <sheetName val="Баз_предп"/>
      <sheetName val="1_14"/>
      <sheetName val="1_10"/>
      <sheetName val="контакт_с_доп_согл"/>
      <sheetName val="Monte-Carlo_Data"/>
      <sheetName val="_Assumptions"/>
      <sheetName val="Фин_модель"/>
      <sheetName val="Коды_расх"/>
      <sheetName val="CASH_FLOW_RUR"/>
      <sheetName val="Расчет_офисов-рек"/>
      <sheetName val="АБ"/>
      <sheetName val="Списки"/>
      <sheetName val="общее"/>
      <sheetName val="1.ИСХ"/>
      <sheetName val="документы Кириши"/>
      <sheetName val="инфо"/>
      <sheetName val="НФИк"/>
      <sheetName val="Земля"/>
      <sheetName val="ВхКредит"/>
      <sheetName val="Прогр_кред"/>
      <sheetName val="офисы (2)"/>
      <sheetName val="затраты"/>
      <sheetName val="2000"/>
      <sheetName val="ПВД"/>
      <sheetName val="Консолидация"/>
      <sheetName val="Сквозной расчет"/>
      <sheetName val="Ар2"/>
      <sheetName val="ar"/>
      <sheetName val="Список контрагентов"/>
      <sheetName val="Лист2"/>
      <sheetName val="Ка"/>
      <sheetName val="05г_"/>
      <sheetName val="РМ"/>
      <sheetName val="lfa 2001"/>
      <sheetName val="Коэфф кап по киоску с ЗУ"/>
    </sheetNames>
    <sheetDataSet>
      <sheetData sheetId="0" refreshError="1"/>
      <sheetData sheetId="1" refreshError="1">
        <row r="3">
          <cell r="F3">
            <v>1.6842510283749963</v>
          </cell>
          <cell r="G3">
            <v>1.6626562797697269</v>
          </cell>
          <cell r="H3">
            <v>1.6783708503579164</v>
          </cell>
          <cell r="I3">
            <v>1.6997987050518062</v>
          </cell>
          <cell r="J3">
            <v>1.6638087046407968</v>
          </cell>
          <cell r="K3">
            <v>1.7399142334614128</v>
          </cell>
          <cell r="L3">
            <v>1.485144002963632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 дан"/>
      <sheetName val="Ф1"/>
      <sheetName val="Ф2"/>
      <sheetName val="ФинАнализ"/>
      <sheetName val="Трансформ"/>
      <sheetName val="Показатели"/>
      <sheetName val="Земля"/>
      <sheetName val="Земля-нов"/>
      <sheetName val="Здания-затр1"/>
      <sheetName val="Здания-затр2"/>
      <sheetName val="Здания-сравнит"/>
      <sheetName val="Здания-доход"/>
      <sheetName val="Здания-взвеш"/>
      <sheetName val="Осн. средства-затрат"/>
      <sheetName val="Незавер_стр-во"/>
      <sheetName val="Нематер. активы"/>
      <sheetName val="Долг.фин.вл"/>
      <sheetName val="Обор. средства"/>
      <sheetName val="Обязат-ва"/>
      <sheetName val="Чист. акт."/>
      <sheetName val="Премия_за_риск"/>
      <sheetName val="Выручка"/>
      <sheetName val="ДДП-1"/>
      <sheetName val="Пр_аморт"/>
      <sheetName val="ДДП-2"/>
      <sheetName val="Предпр.-сравнит. продаж"/>
      <sheetName val="Предпр.-взвеш. оценка"/>
      <sheetName val="Исх данные"/>
    </sheetNames>
    <sheetDataSet>
      <sheetData sheetId="0">
        <row r="2">
          <cell r="B2">
            <v>29.9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од.инф."/>
      <sheetName val="Стоим_здания"/>
      <sheetName val="Дох_объект"/>
      <sheetName val="Плата за землю"/>
      <sheetName val="Техника_остатка"/>
      <sheetName val="Расчет"/>
      <sheetName val="Зем-СРП"/>
      <sheetName val="МСП_ПДА"/>
      <sheetName val="Взвешенная оценка"/>
      <sheetName val="Исход_инф_"/>
      <sheetName val="Исх дан"/>
      <sheetName val="Предпр.-взвеш. оценка"/>
      <sheetName val="Машины и оборудование"/>
      <sheetName val="Здан-затр"/>
      <sheetName val="Пески сводный реестр"/>
    </sheetNames>
    <sheetDataSet>
      <sheetData sheetId="0">
        <row r="4">
          <cell r="B4">
            <v>29.36</v>
          </cell>
        </row>
        <row r="9">
          <cell r="B9">
            <v>5500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ка, Нев.4 "/>
      <sheetName val="7 -проемы Н.4"/>
      <sheetName val="6 -кровля Н.4"/>
      <sheetName val="5 -перекр Н.4"/>
      <sheetName val="4 -полы Н.4"/>
      <sheetName val="3 -лестн Н.4"/>
      <sheetName val="2 -стены, перег Н.4"/>
      <sheetName val="1 -фундам Н.4"/>
      <sheetName val="1 _фундам Н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внутр. оценка"/>
      <sheetName val="коэф.анализ"/>
      <sheetName val="Модуль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"/>
      <sheetName val="восст"/>
      <sheetName val="износ"/>
      <sheetName val="рын"/>
    </sheetNames>
    <sheetDataSet>
      <sheetData sheetId="0" refreshError="1"/>
      <sheetData sheetId="1">
        <row r="1">
          <cell r="B1" t="str">
            <v>Инвентарный номер</v>
          </cell>
          <cell r="C1" t="str">
            <v>Наименование</v>
          </cell>
          <cell r="D1" t="str">
            <v>Дата ввода в эксплуатацию</v>
          </cell>
          <cell r="E1" t="str">
            <v>Остаточная балансовая стоимость, руб.</v>
          </cell>
          <cell r="F1" t="str">
            <v>Количество, ед.</v>
          </cell>
          <cell r="G1" t="str">
            <v>Аналог</v>
          </cell>
          <cell r="H1" t="str">
            <v>Стоимость по прайс-листам, руб. без НДС</v>
          </cell>
          <cell r="I1" t="str">
            <v>Корректировка</v>
          </cell>
          <cell r="J1" t="str">
            <v>Стоимость воспроизводства (замещения), руб.</v>
          </cell>
        </row>
        <row r="2">
          <cell r="B2" t="str">
            <v>ООС-0104-000004</v>
          </cell>
          <cell r="C2" t="str">
            <v>Кондиционер Toshiba</v>
          </cell>
          <cell r="D2">
            <v>35803</v>
          </cell>
          <cell r="E2">
            <v>8901.09</v>
          </cell>
          <cell r="F2">
            <v>1</v>
          </cell>
          <cell r="G2" t="str">
            <v>Кондиционеры Toshiba среднего класса RAC-18 EH-E</v>
          </cell>
          <cell r="H2">
            <v>21164</v>
          </cell>
          <cell r="I2">
            <v>1</v>
          </cell>
          <cell r="J2">
            <v>21164</v>
          </cell>
        </row>
        <row r="3">
          <cell r="B3" t="str">
            <v>ООС-0104-000005</v>
          </cell>
          <cell r="C3" t="str">
            <v>Люлька строительная</v>
          </cell>
          <cell r="D3">
            <v>35921</v>
          </cell>
          <cell r="E3">
            <v>0</v>
          </cell>
          <cell r="F3">
            <v>1</v>
          </cell>
          <cell r="G3" t="str">
            <v xml:space="preserve">Люлька строительная ЛЭ150-300 </v>
          </cell>
          <cell r="H3">
            <v>169153</v>
          </cell>
          <cell r="I3">
            <v>1</v>
          </cell>
          <cell r="J3">
            <v>169153</v>
          </cell>
        </row>
        <row r="4">
          <cell r="B4" t="str">
            <v>ООС-0104-000006</v>
          </cell>
          <cell r="C4" t="str">
            <v>Кондиционер Hitachi 09</v>
          </cell>
          <cell r="D4">
            <v>36010</v>
          </cell>
          <cell r="E4">
            <v>0</v>
          </cell>
          <cell r="F4">
            <v>1</v>
          </cell>
          <cell r="G4" t="str">
            <v xml:space="preserve">Кондиционеры Hitachi RAS-09CH </v>
          </cell>
          <cell r="H4">
            <v>23246</v>
          </cell>
          <cell r="I4">
            <v>1</v>
          </cell>
          <cell r="J4">
            <v>23246</v>
          </cell>
        </row>
        <row r="5">
          <cell r="B5" t="str">
            <v>ООС-0104-000007</v>
          </cell>
          <cell r="C5" t="str">
            <v>Кондиционер Hitachi 09</v>
          </cell>
          <cell r="D5">
            <v>36010</v>
          </cell>
          <cell r="E5">
            <v>0</v>
          </cell>
          <cell r="F5">
            <v>1</v>
          </cell>
          <cell r="G5" t="str">
            <v xml:space="preserve">Кондиционеры Hitachi RAS-09CH </v>
          </cell>
          <cell r="H5">
            <v>23246</v>
          </cell>
          <cell r="I5">
            <v>1</v>
          </cell>
          <cell r="J5">
            <v>23246</v>
          </cell>
        </row>
        <row r="6">
          <cell r="B6" t="str">
            <v>ООС-0104-000008</v>
          </cell>
          <cell r="C6" t="str">
            <v>Кондиционер Hitachi 09</v>
          </cell>
          <cell r="D6">
            <v>36010</v>
          </cell>
          <cell r="E6">
            <v>0</v>
          </cell>
          <cell r="F6">
            <v>1</v>
          </cell>
          <cell r="G6" t="str">
            <v xml:space="preserve">Кондиционеры Hitachi RAS-09CH </v>
          </cell>
          <cell r="H6">
            <v>23246</v>
          </cell>
          <cell r="I6">
            <v>1</v>
          </cell>
          <cell r="J6">
            <v>23246</v>
          </cell>
        </row>
        <row r="7">
          <cell r="B7" t="str">
            <v>ООС-0104-000009</v>
          </cell>
          <cell r="C7" t="str">
            <v>Кондиционер Hitashi 5142</v>
          </cell>
          <cell r="D7">
            <v>36010</v>
          </cell>
          <cell r="E7">
            <v>3098.86</v>
          </cell>
          <cell r="F7">
            <v>1</v>
          </cell>
          <cell r="G7" t="str">
            <v xml:space="preserve">HITACHI RAS/RAC-5142CН </v>
          </cell>
          <cell r="H7">
            <v>23186</v>
          </cell>
          <cell r="I7">
            <v>1</v>
          </cell>
          <cell r="J7">
            <v>23186</v>
          </cell>
        </row>
        <row r="8">
          <cell r="B8" t="str">
            <v>ООС-0104-000010</v>
          </cell>
          <cell r="C8" t="str">
            <v>Оборуд. Для пров. Конф.</v>
          </cell>
          <cell r="D8">
            <v>36013</v>
          </cell>
          <cell r="E8">
            <v>381749.66</v>
          </cell>
          <cell r="F8">
            <v>1</v>
          </cell>
          <cell r="G8" t="str">
            <v>Проектор ASK Proxima C450 
 и Экран Projecta FastFold 396х518см (DA-MAT)</v>
          </cell>
          <cell r="H8">
            <v>320874</v>
          </cell>
          <cell r="I8">
            <v>1</v>
          </cell>
          <cell r="J8">
            <v>320874</v>
          </cell>
        </row>
        <row r="9">
          <cell r="B9" t="str">
            <v>ООС-0104-000011</v>
          </cell>
          <cell r="C9" t="str">
            <v>Сис. Селек. Связи</v>
          </cell>
          <cell r="D9">
            <v>36013</v>
          </cell>
          <cell r="E9">
            <v>371171.05</v>
          </cell>
          <cell r="F9">
            <v>1</v>
          </cell>
          <cell r="G9" t="str">
            <v xml:space="preserve">Радиотелефонная станция РТ-300 
</v>
          </cell>
          <cell r="H9">
            <v>293220</v>
          </cell>
          <cell r="I9">
            <v>1</v>
          </cell>
          <cell r="J9">
            <v>293220</v>
          </cell>
        </row>
        <row r="10">
          <cell r="B10" t="str">
            <v>ООС-0104-000013</v>
          </cell>
          <cell r="C10" t="str">
            <v>Тепловая установка</v>
          </cell>
          <cell r="D10">
            <v>36101</v>
          </cell>
          <cell r="E10">
            <v>37192.46</v>
          </cell>
          <cell r="F10">
            <v>1</v>
          </cell>
          <cell r="G10" t="str">
            <v>ТРОПИК ЗЭТ-18-ДУ Высокопроизводительная завеса для вертикальной / горизонтальной установки</v>
          </cell>
          <cell r="H10">
            <v>25397</v>
          </cell>
          <cell r="I10">
            <v>1</v>
          </cell>
          <cell r="J10">
            <v>25397</v>
          </cell>
        </row>
        <row r="11">
          <cell r="B11" t="str">
            <v>ООС-0104-000094</v>
          </cell>
          <cell r="C11" t="str">
            <v>Зарядное устройство</v>
          </cell>
          <cell r="D11">
            <v>36255</v>
          </cell>
          <cell r="E11">
            <v>5707.31</v>
          </cell>
          <cell r="F11">
            <v>1</v>
          </cell>
          <cell r="G11" t="str">
            <v>Зарядное устройство Canon BCA-CP100</v>
          </cell>
          <cell r="H11">
            <v>3504</v>
          </cell>
          <cell r="I11">
            <v>1</v>
          </cell>
          <cell r="J11">
            <v>3504</v>
          </cell>
        </row>
        <row r="12">
          <cell r="B12" t="str">
            <v>ООС-0104-000095</v>
          </cell>
          <cell r="C12" t="str">
            <v>Зарядное устройство</v>
          </cell>
          <cell r="D12">
            <v>36255</v>
          </cell>
          <cell r="E12">
            <v>5707.31</v>
          </cell>
          <cell r="F12">
            <v>1</v>
          </cell>
          <cell r="G12" t="str">
            <v>Зарядное устройство Canon BCA-CP100</v>
          </cell>
          <cell r="H12">
            <v>3504</v>
          </cell>
          <cell r="I12">
            <v>1</v>
          </cell>
          <cell r="J12">
            <v>3504</v>
          </cell>
        </row>
        <row r="13">
          <cell r="B13" t="str">
            <v>ООС-0104-000096</v>
          </cell>
          <cell r="C13" t="str">
            <v>Зарядное устройство</v>
          </cell>
          <cell r="D13">
            <v>36255</v>
          </cell>
          <cell r="E13">
            <v>5707.31</v>
          </cell>
          <cell r="F13">
            <v>1</v>
          </cell>
          <cell r="G13" t="str">
            <v>Зарядное устройство Canon BCA-CP100</v>
          </cell>
          <cell r="H13">
            <v>3504</v>
          </cell>
          <cell r="I13">
            <v>1</v>
          </cell>
          <cell r="J13">
            <v>3504</v>
          </cell>
        </row>
        <row r="14">
          <cell r="B14" t="str">
            <v>ООС-0104-000097</v>
          </cell>
          <cell r="C14" t="str">
            <v>Зарядное устройство</v>
          </cell>
          <cell r="D14">
            <v>36255</v>
          </cell>
          <cell r="E14">
            <v>5707.31</v>
          </cell>
          <cell r="F14">
            <v>1</v>
          </cell>
          <cell r="G14" t="str">
            <v>Зарядное устройство Canon BCA-CP100</v>
          </cell>
          <cell r="H14">
            <v>3504</v>
          </cell>
          <cell r="I14">
            <v>1</v>
          </cell>
          <cell r="J14">
            <v>3504</v>
          </cell>
        </row>
        <row r="15">
          <cell r="B15" t="str">
            <v>ООС-0104-000098</v>
          </cell>
          <cell r="C15" t="str">
            <v>Зарядное устройство</v>
          </cell>
          <cell r="D15">
            <v>36255</v>
          </cell>
          <cell r="E15">
            <v>5707.31</v>
          </cell>
          <cell r="F15">
            <v>1</v>
          </cell>
          <cell r="G15" t="str">
            <v>Зарядное устройство Canon BCA-CP100</v>
          </cell>
          <cell r="H15">
            <v>3504</v>
          </cell>
          <cell r="I15">
            <v>1</v>
          </cell>
          <cell r="J15">
            <v>3504</v>
          </cell>
        </row>
        <row r="16">
          <cell r="B16" t="str">
            <v>ООС-0104-000106</v>
          </cell>
          <cell r="C16" t="str">
            <v>Принтер HPLj2100</v>
          </cell>
          <cell r="D16">
            <v>36374</v>
          </cell>
          <cell r="E16">
            <v>4706.17</v>
          </cell>
          <cell r="F16">
            <v>1</v>
          </cell>
          <cell r="G16" t="str">
            <v>Принтер лазерный HP LJ 2100</v>
          </cell>
          <cell r="H16">
            <v>20339</v>
          </cell>
          <cell r="I16">
            <v>1</v>
          </cell>
          <cell r="J16">
            <v>20339</v>
          </cell>
        </row>
        <row r="17">
          <cell r="B17" t="str">
            <v>ООС-0104-000137</v>
          </cell>
          <cell r="C17" t="str">
            <v>Системный блок Vei8</v>
          </cell>
          <cell r="D17">
            <v>35885</v>
          </cell>
          <cell r="E17">
            <v>0</v>
          </cell>
          <cell r="F17">
            <v>1</v>
          </cell>
          <cell r="G17" t="str">
            <v>Vectra VEi8</v>
          </cell>
          <cell r="H17">
            <v>24009</v>
          </cell>
          <cell r="I17">
            <v>1</v>
          </cell>
          <cell r="J17">
            <v>24009</v>
          </cell>
        </row>
        <row r="18">
          <cell r="B18" t="str">
            <v>ООС-0104-000145</v>
          </cell>
          <cell r="C18" t="str">
            <v>Коппир. Апп. Ricon5832</v>
          </cell>
          <cell r="D18">
            <v>35937</v>
          </cell>
          <cell r="E18">
            <v>3515.82</v>
          </cell>
          <cell r="F18">
            <v>1</v>
          </cell>
          <cell r="G18" t="str">
            <v>Копир Ricon-FT2260 A3/A4,18 копий/мин.</v>
          </cell>
          <cell r="H18">
            <v>8231</v>
          </cell>
          <cell r="I18">
            <v>1</v>
          </cell>
          <cell r="J18">
            <v>8231</v>
          </cell>
        </row>
        <row r="19">
          <cell r="B19" t="str">
            <v>ООС-0104-000150</v>
          </cell>
          <cell r="C19" t="str">
            <v>Монитор VP140</v>
          </cell>
          <cell r="D19">
            <v>35957</v>
          </cell>
          <cell r="E19">
            <v>1068.05</v>
          </cell>
          <cell r="F19">
            <v>1</v>
          </cell>
          <cell r="G19" t="str">
            <v xml:space="preserve">ViewSonic VP 140 TCO'99 </v>
          </cell>
          <cell r="H19">
            <v>6114</v>
          </cell>
          <cell r="I19">
            <v>1</v>
          </cell>
          <cell r="J19">
            <v>6114</v>
          </cell>
        </row>
        <row r="20">
          <cell r="B20" t="str">
            <v>ООС-0104-000152</v>
          </cell>
          <cell r="C20" t="str">
            <v>Монитор HPD8897</v>
          </cell>
          <cell r="D20">
            <v>35969</v>
          </cell>
          <cell r="E20">
            <v>1771.68</v>
          </cell>
          <cell r="F20">
            <v>1</v>
          </cell>
          <cell r="G20" t="str">
            <v>HPD8901A</v>
          </cell>
          <cell r="H20">
            <v>5808</v>
          </cell>
          <cell r="I20">
            <v>1</v>
          </cell>
          <cell r="J20">
            <v>5808</v>
          </cell>
        </row>
        <row r="21">
          <cell r="B21" t="str">
            <v>ООС-0104-000155</v>
          </cell>
          <cell r="C21" t="str">
            <v>Коппир. Апп.Xerox5437</v>
          </cell>
          <cell r="D21">
            <v>36000</v>
          </cell>
          <cell r="E21">
            <v>6717.52</v>
          </cell>
          <cell r="F21">
            <v>1</v>
          </cell>
          <cell r="G21" t="str">
            <v>Копир-принтер-сканер Xerox WorkCentre PE16e</v>
          </cell>
          <cell r="H21">
            <v>7415</v>
          </cell>
          <cell r="I21">
            <v>1</v>
          </cell>
          <cell r="J21">
            <v>7415</v>
          </cell>
        </row>
        <row r="22">
          <cell r="B22" t="str">
            <v>ООС-0104-000170</v>
          </cell>
          <cell r="C22" t="str">
            <v>Экран 274*366 спультом</v>
          </cell>
          <cell r="D22">
            <v>36566</v>
          </cell>
          <cell r="E22">
            <v>30635.84</v>
          </cell>
          <cell r="F22">
            <v>1</v>
          </cell>
          <cell r="G22" t="str">
            <v xml:space="preserve">Экран настенный ProScreen GB 206 х 274 (120") бисерный с электроприводом </v>
          </cell>
          <cell r="H22">
            <v>15614</v>
          </cell>
          <cell r="I22">
            <v>1</v>
          </cell>
          <cell r="J22">
            <v>15614</v>
          </cell>
        </row>
        <row r="23">
          <cell r="B23" t="str">
            <v>ООС-0104-000226</v>
          </cell>
          <cell r="C23" t="str">
            <v>Копп. Апп.Rex-rotaru8715Z</v>
          </cell>
          <cell r="D23">
            <v>36699</v>
          </cell>
          <cell r="E23">
            <v>9474.7800000000007</v>
          </cell>
          <cell r="F23">
            <v>1</v>
          </cell>
          <cell r="G23" t="str">
            <v>Rex Rotary 8612</v>
          </cell>
          <cell r="H23">
            <v>15820</v>
          </cell>
          <cell r="I23">
            <v>1</v>
          </cell>
          <cell r="J23">
            <v>15820</v>
          </cell>
        </row>
        <row r="24">
          <cell r="B24" t="str">
            <v>ООС-0104-000460</v>
          </cell>
          <cell r="C24" t="str">
            <v>Panasonic KT-ST15</v>
          </cell>
          <cell r="D24">
            <v>37165</v>
          </cell>
          <cell r="E24">
            <v>0</v>
          </cell>
          <cell r="F24">
            <v>1</v>
          </cell>
          <cell r="G24" t="str">
            <v xml:space="preserve">Panasonic KT-TS2365 телефон </v>
          </cell>
          <cell r="H24">
            <v>1014</v>
          </cell>
          <cell r="I24">
            <v>1</v>
          </cell>
          <cell r="J24">
            <v>1014</v>
          </cell>
        </row>
        <row r="25">
          <cell r="B25" t="str">
            <v>ООС-0104-000461</v>
          </cell>
          <cell r="C25" t="str">
            <v>Panasonic KT-ST15</v>
          </cell>
          <cell r="D25">
            <v>37165</v>
          </cell>
          <cell r="E25">
            <v>0</v>
          </cell>
          <cell r="F25">
            <v>1</v>
          </cell>
          <cell r="G25" t="str">
            <v xml:space="preserve">Panasonic KT-TS2365 телефон </v>
          </cell>
          <cell r="H25">
            <v>1014</v>
          </cell>
          <cell r="I25">
            <v>1</v>
          </cell>
          <cell r="J25">
            <v>1014</v>
          </cell>
        </row>
        <row r="26">
          <cell r="B26" t="str">
            <v>ООС-0104-000547</v>
          </cell>
          <cell r="C26" t="str">
            <v>Факс Xerox 7041</v>
          </cell>
          <cell r="D26">
            <v>37316</v>
          </cell>
          <cell r="E26">
            <v>9253.3700000000008</v>
          </cell>
          <cell r="F26">
            <v>1</v>
          </cell>
          <cell r="G26" t="str">
            <v xml:space="preserve">Факс сервер XEROX 425/432/440 </v>
          </cell>
          <cell r="H26">
            <v>6151</v>
          </cell>
          <cell r="I26">
            <v>1</v>
          </cell>
          <cell r="J26">
            <v>6151</v>
          </cell>
        </row>
        <row r="27">
          <cell r="B27" t="str">
            <v>ООС-0104-000558</v>
          </cell>
          <cell r="C27" t="str">
            <v>Факс MB8145</v>
          </cell>
          <cell r="D27">
            <v>37316</v>
          </cell>
          <cell r="E27">
            <v>72801.289999999994</v>
          </cell>
          <cell r="F27">
            <v>1</v>
          </cell>
          <cell r="G27" t="str">
            <v>MB 8145MOD</v>
          </cell>
          <cell r="H27">
            <v>149153</v>
          </cell>
          <cell r="I27">
            <v>1</v>
          </cell>
          <cell r="J27">
            <v>149153</v>
          </cell>
        </row>
        <row r="28">
          <cell r="B28" t="str">
            <v>ООС-0104-000559</v>
          </cell>
          <cell r="C28" t="str">
            <v>Ноутбук Satellite2805-S301</v>
          </cell>
          <cell r="D28">
            <v>37316</v>
          </cell>
          <cell r="E28">
            <v>16702.599999999999</v>
          </cell>
          <cell r="F28">
            <v>1</v>
          </cell>
          <cell r="G28" t="str">
            <v xml:space="preserve">Ноутбук Toshiba Satellite 2805-S301 </v>
          </cell>
          <cell r="H28">
            <v>12228</v>
          </cell>
          <cell r="I28">
            <v>1</v>
          </cell>
          <cell r="J28">
            <v>12228</v>
          </cell>
        </row>
        <row r="29">
          <cell r="B29" t="str">
            <v>ООС-0104-000560</v>
          </cell>
          <cell r="C29" t="str">
            <v>Ноутбук Satellite2100СDT</v>
          </cell>
          <cell r="D29">
            <v>37316</v>
          </cell>
          <cell r="E29">
            <v>16702.599999999999</v>
          </cell>
          <cell r="F29">
            <v>1</v>
          </cell>
          <cell r="G29" t="str">
            <v xml:space="preserve">Ноутбук Toshiba Satellite 2100CDT </v>
          </cell>
          <cell r="H29">
            <v>32099</v>
          </cell>
          <cell r="I29">
            <v>1</v>
          </cell>
          <cell r="J29">
            <v>32099</v>
          </cell>
        </row>
        <row r="30">
          <cell r="B30" t="str">
            <v>ООС-0104-000563</v>
          </cell>
          <cell r="C30" t="str">
            <v>Сис. Блок VL420</v>
          </cell>
          <cell r="D30">
            <v>37316</v>
          </cell>
          <cell r="E30">
            <v>11491.04</v>
          </cell>
          <cell r="F30">
            <v>1</v>
          </cell>
          <cell r="G30" t="str">
            <v>Pentium 4/1700 MHz/256 Mb/40000 Mb/SVGA Hewlett-Packard Vectra VL420 MT P4-1.7 40GB 256MB i845 NVidiaGF2 32MB DVD (P5768A</v>
          </cell>
          <cell r="H30">
            <v>25374</v>
          </cell>
          <cell r="I30">
            <v>1</v>
          </cell>
          <cell r="J30">
            <v>25374</v>
          </cell>
        </row>
        <row r="31">
          <cell r="B31" t="str">
            <v>ООС-0104-000571</v>
          </cell>
          <cell r="C31" t="str">
            <v>Телекоммуникац. Оборуд.</v>
          </cell>
          <cell r="D31">
            <v>37316</v>
          </cell>
          <cell r="E31">
            <v>2935783.57</v>
          </cell>
          <cell r="F31">
            <v>1</v>
          </cell>
          <cell r="G31" t="str">
            <v xml:space="preserve"> Телекоммуникационное оборудование Hirshman: Single port 10 Gig Ethernet Module with 1550nm LAN optics SMF and SC connector</v>
          </cell>
          <cell r="H31">
            <v>3716392</v>
          </cell>
          <cell r="I31">
            <v>1</v>
          </cell>
          <cell r="J31">
            <v>3716392</v>
          </cell>
        </row>
        <row r="32">
          <cell r="B32" t="str">
            <v>ООС-0104-000656</v>
          </cell>
          <cell r="C32" t="str">
            <v>Принтер HP Laser1100</v>
          </cell>
          <cell r="D32">
            <v>37622</v>
          </cell>
          <cell r="E32">
            <v>9627.73</v>
          </cell>
          <cell r="F32">
            <v>2</v>
          </cell>
          <cell r="G32" t="str">
            <v xml:space="preserve">Принтер HP LaserJet 1100 (C4224A) 8 стр/ мин </v>
          </cell>
          <cell r="H32">
            <v>8653</v>
          </cell>
          <cell r="I32">
            <v>1</v>
          </cell>
          <cell r="J32">
            <v>17306</v>
          </cell>
        </row>
        <row r="33">
          <cell r="B33" t="str">
            <v>ООС-0104-000658</v>
          </cell>
          <cell r="C33" t="str">
            <v>Сис. Блок Brio</v>
          </cell>
          <cell r="D33">
            <v>37622</v>
          </cell>
          <cell r="E33">
            <v>11122.23</v>
          </cell>
          <cell r="F33">
            <v>1</v>
          </cell>
          <cell r="G33" t="str">
            <v>Hewlett-Packard (HP) P1711A Системный блок HP Brio BA 410 P1711A P3-733 64MB 10GB CD-48x W98Engl</v>
          </cell>
          <cell r="H33">
            <v>5879</v>
          </cell>
          <cell r="I33">
            <v>1</v>
          </cell>
          <cell r="J33">
            <v>5879</v>
          </cell>
        </row>
        <row r="34">
          <cell r="B34" t="str">
            <v>ООС-0104-000659</v>
          </cell>
          <cell r="C34" t="str">
            <v>Сис. Блок Brio</v>
          </cell>
          <cell r="D34">
            <v>37622</v>
          </cell>
          <cell r="E34">
            <v>11122.23</v>
          </cell>
          <cell r="F34">
            <v>1</v>
          </cell>
          <cell r="G34" t="str">
            <v>Hewlett-Packard (HP) P1711A Системный блок HP Brio BA 410 P1711A P3-733 64MB 10GB CD-48x W98Engl</v>
          </cell>
          <cell r="H34">
            <v>5879</v>
          </cell>
          <cell r="I34">
            <v>1</v>
          </cell>
          <cell r="J34">
            <v>5879</v>
          </cell>
        </row>
        <row r="35">
          <cell r="B35" t="str">
            <v>ООС-0104-000660</v>
          </cell>
          <cell r="C35" t="str">
            <v>Сис. Блок Brio</v>
          </cell>
          <cell r="D35">
            <v>37622</v>
          </cell>
          <cell r="E35">
            <v>11122.42</v>
          </cell>
          <cell r="F35">
            <v>1</v>
          </cell>
          <cell r="G35" t="str">
            <v>Hewlett-Packard (HP) P1711A Системный блок HP Brio BA 410 P1711A P3-733 64MB 10GB CD-48x W98Engl</v>
          </cell>
          <cell r="H35">
            <v>5879</v>
          </cell>
          <cell r="I35">
            <v>1</v>
          </cell>
          <cell r="J35">
            <v>5879</v>
          </cell>
        </row>
        <row r="36">
          <cell r="B36" t="str">
            <v>ООС-0104-000661</v>
          </cell>
          <cell r="C36" t="str">
            <v>Сис. Блок Brio</v>
          </cell>
          <cell r="D36">
            <v>37622</v>
          </cell>
          <cell r="E36">
            <v>11122.22</v>
          </cell>
          <cell r="F36">
            <v>5</v>
          </cell>
          <cell r="G36" t="str">
            <v>Hewlett-Packard (HP) P1711A Системный блок HP Brio BA 410 P1711A P3-733 64MB 10GB CD-48x W98Engl</v>
          </cell>
          <cell r="H36">
            <v>5879</v>
          </cell>
          <cell r="I36">
            <v>1</v>
          </cell>
          <cell r="J36">
            <v>29395</v>
          </cell>
        </row>
        <row r="37">
          <cell r="B37" t="str">
            <v>ООС-0104-000662</v>
          </cell>
          <cell r="C37" t="str">
            <v>Кондиционер Samsung</v>
          </cell>
          <cell r="D37">
            <v>37622</v>
          </cell>
          <cell r="E37">
            <v>22023.37</v>
          </cell>
          <cell r="F37">
            <v>1</v>
          </cell>
          <cell r="G37" t="str">
            <v xml:space="preserve">Кондиционеры сплит-системы Samsung модель SH30ZC2 </v>
          </cell>
          <cell r="H37">
            <v>26338</v>
          </cell>
          <cell r="I37">
            <v>1</v>
          </cell>
          <cell r="J37">
            <v>26338</v>
          </cell>
        </row>
        <row r="38">
          <cell r="B38" t="str">
            <v>ООС-0104-000663</v>
          </cell>
          <cell r="C38" t="str">
            <v>Кондиционер Samsung</v>
          </cell>
          <cell r="D38">
            <v>37622</v>
          </cell>
          <cell r="E38">
            <v>22023.37</v>
          </cell>
          <cell r="F38">
            <v>2</v>
          </cell>
          <cell r="G38" t="str">
            <v xml:space="preserve">Кондиционеры сплит-системы Samsung модель SH30ZC2 </v>
          </cell>
          <cell r="H38">
            <v>26338</v>
          </cell>
          <cell r="I38">
            <v>1</v>
          </cell>
          <cell r="J38">
            <v>52676</v>
          </cell>
        </row>
        <row r="39">
          <cell r="B39" t="str">
            <v>ООС-0104-000664</v>
          </cell>
          <cell r="C39" t="str">
            <v>Кондиционер Samsung</v>
          </cell>
          <cell r="D39">
            <v>37622</v>
          </cell>
          <cell r="E39">
            <v>28876.6</v>
          </cell>
          <cell r="F39">
            <v>1</v>
          </cell>
          <cell r="G39" t="str">
            <v>Кондиционеры SAMSUNG ADH3200E</v>
          </cell>
          <cell r="H39">
            <v>33458</v>
          </cell>
          <cell r="I39">
            <v>1</v>
          </cell>
          <cell r="J39">
            <v>33458</v>
          </cell>
        </row>
        <row r="40">
          <cell r="B40" t="str">
            <v>ООС-0104-000665</v>
          </cell>
          <cell r="C40" t="str">
            <v>Кондиционер Samsung</v>
          </cell>
          <cell r="D40">
            <v>37622</v>
          </cell>
          <cell r="E40">
            <v>39236.21</v>
          </cell>
          <cell r="F40">
            <v>1</v>
          </cell>
          <cell r="G40" t="str">
            <v>Кондиционеры SAMSUNG ADH3200E</v>
          </cell>
          <cell r="H40">
            <v>33458</v>
          </cell>
          <cell r="I40">
            <v>1</v>
          </cell>
          <cell r="J40">
            <v>33458</v>
          </cell>
        </row>
        <row r="41">
          <cell r="B41" t="str">
            <v>ООС-0104-000666</v>
          </cell>
          <cell r="C41" t="str">
            <v>Кондиционер PX 800RC</v>
          </cell>
          <cell r="D41">
            <v>37622</v>
          </cell>
          <cell r="E41">
            <v>38279.9</v>
          </cell>
          <cell r="F41">
            <v>2</v>
          </cell>
          <cell r="G41" t="str">
            <v>Кондиционеры SAMSUNG ADH3200E</v>
          </cell>
          <cell r="H41">
            <v>33458</v>
          </cell>
          <cell r="I41">
            <v>1</v>
          </cell>
          <cell r="J41">
            <v>66916</v>
          </cell>
        </row>
        <row r="42">
          <cell r="B42" t="str">
            <v>ООС-0104-000680</v>
          </cell>
          <cell r="C42" t="str">
            <v>Копп. Апп. MB5651</v>
          </cell>
          <cell r="D42">
            <v>37681</v>
          </cell>
          <cell r="E42">
            <v>27430.04</v>
          </cell>
          <cell r="F42">
            <v>1</v>
          </cell>
          <cell r="G42" t="str">
            <v xml:space="preserve">КОПИР MB 5815 </v>
          </cell>
          <cell r="H42">
            <v>28807</v>
          </cell>
          <cell r="I42">
            <v>1</v>
          </cell>
          <cell r="J42">
            <v>28807</v>
          </cell>
        </row>
        <row r="43">
          <cell r="B43" t="str">
            <v>ООС-0104-000687</v>
          </cell>
          <cell r="C43" t="str">
            <v>Сис. Блок HP Ve5</v>
          </cell>
          <cell r="D43">
            <v>37622</v>
          </cell>
          <cell r="E43">
            <v>6565.25</v>
          </cell>
          <cell r="F43">
            <v>1</v>
          </cell>
          <cell r="G43" t="str">
            <v xml:space="preserve">HP Vectra VEi7 DT C466-32M4.3G/S95      HPD8126A </v>
          </cell>
          <cell r="H43">
            <v>16955</v>
          </cell>
          <cell r="I43">
            <v>1</v>
          </cell>
          <cell r="J43">
            <v>16955</v>
          </cell>
        </row>
        <row r="44">
          <cell r="B44" t="str">
            <v>ООС-0104-000688</v>
          </cell>
          <cell r="C44" t="str">
            <v>Сис. Блок HP Ve5D5602</v>
          </cell>
          <cell r="D44">
            <v>37622</v>
          </cell>
          <cell r="E44">
            <v>5656.77</v>
          </cell>
          <cell r="F44">
            <v>1</v>
          </cell>
          <cell r="G44" t="str">
            <v xml:space="preserve">HP Vectra VEi7 DT C466-32M4.3G/S95      HPD8126A </v>
          </cell>
          <cell r="H44">
            <v>16955</v>
          </cell>
          <cell r="I44">
            <v>1</v>
          </cell>
          <cell r="J44">
            <v>16955</v>
          </cell>
        </row>
        <row r="45">
          <cell r="B45" t="str">
            <v>ООС-0104-000689</v>
          </cell>
          <cell r="C45" t="str">
            <v>Сис. Блок HP Vei8</v>
          </cell>
          <cell r="D45">
            <v>37622</v>
          </cell>
          <cell r="E45">
            <v>12758.86</v>
          </cell>
          <cell r="F45">
            <v>1</v>
          </cell>
          <cell r="G45" t="str">
            <v xml:space="preserve">DT P450-64Mb/4.3Gb/MATROX G200 AGP 8mB/3Com Lan      HPD8172N </v>
          </cell>
          <cell r="H45">
            <v>24009</v>
          </cell>
          <cell r="I45">
            <v>1</v>
          </cell>
          <cell r="J45">
            <v>24009</v>
          </cell>
        </row>
        <row r="46">
          <cell r="B46" t="str">
            <v>ООС-0104-000690</v>
          </cell>
          <cell r="C46" t="str">
            <v>Сис. Блок HP Vei8</v>
          </cell>
          <cell r="D46">
            <v>37622</v>
          </cell>
          <cell r="E46">
            <v>7650.02</v>
          </cell>
          <cell r="F46">
            <v>1</v>
          </cell>
          <cell r="G46" t="str">
            <v xml:space="preserve">DT P450-64Mb/4.3Gb/MATROX G200 AGP 8mB/3Com Lan      HPD8172N </v>
          </cell>
          <cell r="H46">
            <v>24009</v>
          </cell>
          <cell r="I46">
            <v>1</v>
          </cell>
          <cell r="J46">
            <v>24009</v>
          </cell>
        </row>
        <row r="47">
          <cell r="B47" t="str">
            <v>ООС-0104-000691</v>
          </cell>
          <cell r="C47" t="str">
            <v>Сканер HP4300</v>
          </cell>
          <cell r="D47">
            <v>37622</v>
          </cell>
          <cell r="E47">
            <v>3965.04</v>
          </cell>
          <cell r="F47">
            <v>1</v>
          </cell>
          <cell r="G47" t="str">
            <v>HP ScanJet 4300C</v>
          </cell>
          <cell r="H47">
            <v>3481</v>
          </cell>
          <cell r="I47">
            <v>1</v>
          </cell>
          <cell r="J47">
            <v>3481</v>
          </cell>
        </row>
        <row r="48">
          <cell r="B48" t="str">
            <v>ООС-0104-000692</v>
          </cell>
          <cell r="C48" t="str">
            <v>Сис. Блок с монит. HPLC3</v>
          </cell>
          <cell r="D48">
            <v>37622</v>
          </cell>
          <cell r="E48">
            <v>17280.259999999998</v>
          </cell>
          <cell r="F48">
            <v>1</v>
          </cell>
          <cell r="G48" t="str">
            <v xml:space="preserve">HP Vectra VEi7 DT C466-32M4.3G/S95      HPD8126A  и ViewSonic VP 140 TCO'99 </v>
          </cell>
          <cell r="H48">
            <v>23069</v>
          </cell>
          <cell r="I48">
            <v>1</v>
          </cell>
          <cell r="J48">
            <v>23069</v>
          </cell>
        </row>
        <row r="49">
          <cell r="B49" t="str">
            <v>ООС-0104-000693</v>
          </cell>
          <cell r="C49" t="str">
            <v>Модем HPVL400</v>
          </cell>
          <cell r="D49">
            <v>37622</v>
          </cell>
          <cell r="E49">
            <v>13914.36</v>
          </cell>
          <cell r="F49">
            <v>8</v>
          </cell>
          <cell r="G49" t="str">
            <v xml:space="preserve">Модем HP FA132A 56K CF </v>
          </cell>
          <cell r="H49">
            <v>3508</v>
          </cell>
          <cell r="I49">
            <v>1</v>
          </cell>
          <cell r="J49">
            <v>28064</v>
          </cell>
        </row>
        <row r="50">
          <cell r="B50" t="str">
            <v>ООС-0104-000695</v>
          </cell>
          <cell r="C50" t="str">
            <v>Сис. Блок VL410</v>
          </cell>
          <cell r="D50">
            <v>37622</v>
          </cell>
          <cell r="E50">
            <v>10165.31</v>
          </cell>
          <cell r="F50">
            <v>1</v>
          </cell>
          <cell r="G50" t="str">
            <v>Pentium 4/1600 MHz/256 Mb/20000 Mb/SVGA Hewlett-Packard HP Vectra VL410 DT P4-1.6GHz 256M20G CDLAN W98 (P5974A</v>
          </cell>
          <cell r="H50">
            <v>19894</v>
          </cell>
          <cell r="I50">
            <v>1</v>
          </cell>
          <cell r="J50">
            <v>19894</v>
          </cell>
        </row>
        <row r="51">
          <cell r="B51" t="str">
            <v>ООС-0104-000696</v>
          </cell>
          <cell r="C51" t="str">
            <v>Сис. Блок VL410</v>
          </cell>
          <cell r="D51">
            <v>37622</v>
          </cell>
          <cell r="E51">
            <v>9989.0300000000007</v>
          </cell>
          <cell r="F51">
            <v>1</v>
          </cell>
          <cell r="G51" t="str">
            <v>Pentium 4/1600 MHz/256 Mb/20000 Mb/SVGA Hewlett-Packard HP Vectra VL410 DT P4-1.6GHz 256M20G CDLAN W98 (P5974A</v>
          </cell>
          <cell r="H51">
            <v>19894</v>
          </cell>
          <cell r="I51">
            <v>1</v>
          </cell>
          <cell r="J51">
            <v>19894</v>
          </cell>
        </row>
        <row r="52">
          <cell r="B52" t="str">
            <v>ООС-0104-000700</v>
          </cell>
          <cell r="C52" t="str">
            <v>Сервер HP Lc3</v>
          </cell>
          <cell r="D52">
            <v>37681</v>
          </cell>
          <cell r="E52">
            <v>38448.69</v>
          </cell>
          <cell r="F52">
            <v>1</v>
          </cell>
          <cell r="G52" t="str">
            <v>HP Netserver LC3 LPr</v>
          </cell>
          <cell r="H52">
            <v>25844</v>
          </cell>
          <cell r="I52">
            <v>1</v>
          </cell>
          <cell r="J52">
            <v>25844</v>
          </cell>
        </row>
        <row r="53">
          <cell r="B53" t="str">
            <v>ООС-0104-000717</v>
          </cell>
          <cell r="C53" t="str">
            <v>Мобил. Тел. EricssonT68</v>
          </cell>
          <cell r="D53">
            <v>37622</v>
          </cell>
          <cell r="E53">
            <v>9845.09</v>
          </cell>
          <cell r="F53">
            <v>1</v>
          </cell>
          <cell r="G53" t="str">
            <v xml:space="preserve">SONY ERICSSON T68 </v>
          </cell>
          <cell r="H53">
            <v>4660</v>
          </cell>
          <cell r="I53">
            <v>1</v>
          </cell>
          <cell r="J53">
            <v>4660</v>
          </cell>
        </row>
        <row r="54">
          <cell r="B54" t="str">
            <v>ООС-0104-000723</v>
          </cell>
          <cell r="C54" t="str">
            <v>Мон.+сис. Блок HPD8897</v>
          </cell>
          <cell r="D54">
            <v>37622</v>
          </cell>
          <cell r="E54">
            <v>12063.83</v>
          </cell>
          <cell r="F54">
            <v>1</v>
          </cell>
          <cell r="G54" t="str">
            <v xml:space="preserve">HP Vectra VEi7 DT C466-32M4.3G/S95      HPD8126A </v>
          </cell>
          <cell r="H54">
            <v>16955</v>
          </cell>
          <cell r="I54">
            <v>1</v>
          </cell>
          <cell r="J54">
            <v>16955</v>
          </cell>
        </row>
        <row r="55">
          <cell r="B55" t="str">
            <v>ООС-0104-000727</v>
          </cell>
          <cell r="C55" t="str">
            <v>Факс MB9410</v>
          </cell>
          <cell r="D55">
            <v>37622</v>
          </cell>
          <cell r="E55">
            <v>21053.89</v>
          </cell>
          <cell r="F55">
            <v>1</v>
          </cell>
          <cell r="G55" t="str">
            <v xml:space="preserve">Факс OKI FAX 5680 with handset, 8ppm, 600 dpi </v>
          </cell>
          <cell r="H55">
            <v>23550</v>
          </cell>
          <cell r="I55">
            <v>1</v>
          </cell>
          <cell r="J55">
            <v>23550</v>
          </cell>
        </row>
        <row r="56">
          <cell r="B56" t="str">
            <v>ООС-0104-000737</v>
          </cell>
          <cell r="C56" t="str">
            <v>Компьютер 1 Щулькина</v>
          </cell>
          <cell r="D56">
            <v>37622</v>
          </cell>
          <cell r="E56">
            <v>6740.51</v>
          </cell>
          <cell r="F56">
            <v>1</v>
          </cell>
          <cell r="G56" t="str">
            <v xml:space="preserve">Celeron/900 MHz/64 Mb/20000 Mb/SVGA Hewlett-Packard ПК HP Vectra VL400, Cel 900MHz, 64MB PC133 SDRAM, 20GB, AGP и Монитор 15'' ViewSonic E651 </v>
          </cell>
          <cell r="H56">
            <v>15097</v>
          </cell>
          <cell r="I56">
            <v>1</v>
          </cell>
          <cell r="J56">
            <v>15097</v>
          </cell>
        </row>
        <row r="57">
          <cell r="B57" t="str">
            <v>ООС-0104-000738</v>
          </cell>
          <cell r="C57" t="str">
            <v>Компьютер 2 Черная</v>
          </cell>
          <cell r="D57">
            <v>37622</v>
          </cell>
          <cell r="E57">
            <v>5754.35</v>
          </cell>
          <cell r="F57">
            <v>1</v>
          </cell>
          <cell r="G57" t="str">
            <v xml:space="preserve">Celeron/900 MHz/64 Mb/20000 Mb/SVGA Hewlett-Packard ПК HP Vectra VL400, Cel 900MHz, 64MB PC133 SDRAM, 20GB, AGP и Монитор 15'' ViewSonic E651 </v>
          </cell>
          <cell r="H57">
            <v>15097</v>
          </cell>
          <cell r="I57">
            <v>1</v>
          </cell>
          <cell r="J57">
            <v>15097</v>
          </cell>
        </row>
        <row r="58">
          <cell r="B58" t="str">
            <v>ООС-0104-000739</v>
          </cell>
          <cell r="C58" t="str">
            <v>Компьютер 3 Попеску</v>
          </cell>
          <cell r="D58">
            <v>37622</v>
          </cell>
          <cell r="E58">
            <v>6393.39</v>
          </cell>
          <cell r="F58">
            <v>1</v>
          </cell>
          <cell r="G58" t="str">
            <v xml:space="preserve">Celeron/900 MHz/64 Mb/20000 Mb/SVGA Hewlett-Packard ПК HP Vectra VL400, Cel 900MHz, 64MB PC133 SDRAM, 20GB, AGP и Монитор 15'' ViewSonic E651 </v>
          </cell>
          <cell r="H58">
            <v>15097</v>
          </cell>
          <cell r="I58">
            <v>1</v>
          </cell>
          <cell r="J58">
            <v>15097</v>
          </cell>
        </row>
        <row r="59">
          <cell r="B59" t="str">
            <v>ООС-0104-000740</v>
          </cell>
          <cell r="C59" t="str">
            <v>АТС ,Орская,25</v>
          </cell>
          <cell r="D59">
            <v>37622</v>
          </cell>
          <cell r="E59">
            <v>9643.24</v>
          </cell>
          <cell r="F59">
            <v>1</v>
          </cell>
          <cell r="G59" t="str">
            <v xml:space="preserve">KX-TA616RU </v>
          </cell>
          <cell r="H59">
            <v>10700</v>
          </cell>
          <cell r="I59">
            <v>1</v>
          </cell>
          <cell r="J59">
            <v>10700</v>
          </cell>
        </row>
        <row r="60">
          <cell r="B60" t="str">
            <v>ООС-0104-000742</v>
          </cell>
          <cell r="C60" t="str">
            <v>Копп. Апп.Ricon FT5832</v>
          </cell>
          <cell r="D60">
            <v>37622</v>
          </cell>
          <cell r="E60">
            <v>50721.43</v>
          </cell>
          <cell r="F60">
            <v>1</v>
          </cell>
          <cell r="G60" t="str">
            <v xml:space="preserve">Копировальный аппарат Ricoh FT-5832 (А3) </v>
          </cell>
          <cell r="H60">
            <v>81365</v>
          </cell>
          <cell r="I60">
            <v>1</v>
          </cell>
          <cell r="J60">
            <v>81365</v>
          </cell>
        </row>
        <row r="61">
          <cell r="B61" t="str">
            <v>ООС-0104-000746</v>
          </cell>
          <cell r="C61" t="str">
            <v>Сис. Блок HP-7</v>
          </cell>
          <cell r="D61">
            <v>37622</v>
          </cell>
          <cell r="E61">
            <v>9519.02</v>
          </cell>
          <cell r="F61">
            <v>10</v>
          </cell>
          <cell r="G61" t="str">
            <v>Hewlett-Packard (HP) P1711A Системный блок HP Brio BA 410 P1711A P3-733 64MB 10GB CD-48x W98Engl</v>
          </cell>
          <cell r="H61">
            <v>5879</v>
          </cell>
          <cell r="I61">
            <v>1</v>
          </cell>
          <cell r="J61">
            <v>58790</v>
          </cell>
        </row>
        <row r="62">
          <cell r="B62" t="str">
            <v>ООС-0104-000747</v>
          </cell>
          <cell r="C62" t="str">
            <v>Сервер HP E800</v>
          </cell>
          <cell r="D62">
            <v>37622</v>
          </cell>
          <cell r="E62">
            <v>30243.62</v>
          </cell>
          <cell r="F62">
            <v>1</v>
          </cell>
          <cell r="G62" t="str">
            <v xml:space="preserve">HP Netserver E800 </v>
          </cell>
          <cell r="H62">
            <v>16461</v>
          </cell>
          <cell r="I62">
            <v>1</v>
          </cell>
          <cell r="J62">
            <v>16461</v>
          </cell>
        </row>
        <row r="63">
          <cell r="B63" t="str">
            <v>ООС-0104-000751</v>
          </cell>
          <cell r="C63" t="str">
            <v>Принтер MB206</v>
          </cell>
          <cell r="D63">
            <v>37622</v>
          </cell>
          <cell r="E63">
            <v>2528.25</v>
          </cell>
          <cell r="F63">
            <v>4</v>
          </cell>
          <cell r="G63" t="str">
            <v>Принтер OKI B4250, лазерный</v>
          </cell>
          <cell r="H63">
            <v>5644</v>
          </cell>
          <cell r="I63">
            <v>1</v>
          </cell>
          <cell r="J63">
            <v>22576</v>
          </cell>
        </row>
        <row r="64">
          <cell r="B64" t="str">
            <v>ООС-0104-000753</v>
          </cell>
          <cell r="C64" t="str">
            <v>Копп. Апп. MB5615</v>
          </cell>
          <cell r="D64">
            <v>37622</v>
          </cell>
          <cell r="E64">
            <v>26875.96</v>
          </cell>
          <cell r="F64">
            <v>1</v>
          </cell>
          <cell r="G64" t="str">
            <v xml:space="preserve">КОПИР MB 5815 </v>
          </cell>
          <cell r="H64">
            <v>28807</v>
          </cell>
          <cell r="I64">
            <v>1</v>
          </cell>
          <cell r="J64">
            <v>28807</v>
          </cell>
        </row>
        <row r="65">
          <cell r="B65" t="str">
            <v>ООС-0104-000754</v>
          </cell>
          <cell r="C65" t="str">
            <v>Монитор VS E651</v>
          </cell>
          <cell r="D65">
            <v>37622</v>
          </cell>
          <cell r="E65">
            <v>14759.4</v>
          </cell>
          <cell r="F65">
            <v>1</v>
          </cell>
          <cell r="G65" t="str">
            <v xml:space="preserve">Монитор 15'' ViewSonic E651 </v>
          </cell>
          <cell r="H65">
            <v>4021</v>
          </cell>
          <cell r="I65">
            <v>1</v>
          </cell>
          <cell r="J65">
            <v>4021</v>
          </cell>
        </row>
        <row r="66">
          <cell r="B66" t="str">
            <v>ООС-0104-000757</v>
          </cell>
          <cell r="C66" t="str">
            <v>Принтер HP LJ1100</v>
          </cell>
          <cell r="D66">
            <v>37622</v>
          </cell>
          <cell r="E66">
            <v>4412.41</v>
          </cell>
          <cell r="F66">
            <v>1</v>
          </cell>
          <cell r="G66" t="str">
            <v xml:space="preserve">Принтер HP LaserJet 1100 (C4224A) 8 стр/ мин </v>
          </cell>
          <cell r="H66">
            <v>8653</v>
          </cell>
          <cell r="I66">
            <v>1</v>
          </cell>
          <cell r="J66">
            <v>8653</v>
          </cell>
        </row>
        <row r="67">
          <cell r="B67" t="str">
            <v xml:space="preserve">ООС-0104-000758 </v>
          </cell>
          <cell r="C67" t="str">
            <v>Принтер HP LaserJet4050</v>
          </cell>
          <cell r="D67">
            <v>37622</v>
          </cell>
          <cell r="E67">
            <v>17873.240000000002</v>
          </cell>
          <cell r="F67">
            <v>1</v>
          </cell>
          <cell r="G67" t="str">
            <v xml:space="preserve">HP LaserJet 4050N (C4253A) A4 16 стр/ мин сетевой 1200dpi </v>
          </cell>
          <cell r="H67">
            <v>44522</v>
          </cell>
          <cell r="I67">
            <v>1</v>
          </cell>
          <cell r="J67">
            <v>44522</v>
          </cell>
        </row>
        <row r="68">
          <cell r="B68" t="str">
            <v>ООС-0104-000780</v>
          </cell>
          <cell r="C68" t="str">
            <v>Антенна (южный)</v>
          </cell>
          <cell r="D68">
            <v>37681</v>
          </cell>
          <cell r="E68">
            <v>51629.73</v>
          </cell>
          <cell r="F68">
            <v>1</v>
          </cell>
          <cell r="G68" t="str">
            <v>Антенна спутниковая офсетная 1.8x1.6 м, полярная</v>
          </cell>
          <cell r="H68">
            <v>6819</v>
          </cell>
          <cell r="I68">
            <v>1</v>
          </cell>
          <cell r="J68">
            <v>6819</v>
          </cell>
        </row>
        <row r="69">
          <cell r="B69" t="str">
            <v>ООС-0104-000783</v>
          </cell>
          <cell r="C69" t="str">
            <v>Сервер  HP LH Pro</v>
          </cell>
          <cell r="D69">
            <v>37681</v>
          </cell>
          <cell r="E69">
            <v>174502.65</v>
          </cell>
          <cell r="F69">
            <v>2</v>
          </cell>
          <cell r="G69" t="str">
            <v xml:space="preserve">Сервер HP NetServer LH3000r PIII/1000 M1 U3-SCSI </v>
          </cell>
          <cell r="H69">
            <v>106780</v>
          </cell>
          <cell r="I69">
            <v>1</v>
          </cell>
          <cell r="J69">
            <v>213560</v>
          </cell>
        </row>
        <row r="70">
          <cell r="B70" t="str">
            <v>ООС-0104-000785</v>
          </cell>
          <cell r="C70" t="str">
            <v>Сервер HP E800</v>
          </cell>
          <cell r="D70">
            <v>37681</v>
          </cell>
          <cell r="E70">
            <v>174502.65</v>
          </cell>
          <cell r="F70">
            <v>2</v>
          </cell>
          <cell r="G70" t="str">
            <v xml:space="preserve">HP Netserver E800 </v>
          </cell>
          <cell r="H70">
            <v>16461</v>
          </cell>
          <cell r="I70">
            <v>1</v>
          </cell>
          <cell r="J70">
            <v>32922</v>
          </cell>
        </row>
        <row r="71">
          <cell r="B71" t="str">
            <v>ООС-0104-000837</v>
          </cell>
          <cell r="C71" t="str">
            <v>Принтер HPLJ2100</v>
          </cell>
          <cell r="D71">
            <v>37742</v>
          </cell>
          <cell r="E71">
            <v>8956.91</v>
          </cell>
          <cell r="F71">
            <v>1</v>
          </cell>
          <cell r="G71" t="str">
            <v>Принтер лазерный HP LJ 2100</v>
          </cell>
          <cell r="H71">
            <v>20339</v>
          </cell>
          <cell r="I71">
            <v>1</v>
          </cell>
          <cell r="J71">
            <v>20339</v>
          </cell>
        </row>
        <row r="72">
          <cell r="B72" t="str">
            <v>ООС-0104-000844</v>
          </cell>
          <cell r="C72" t="str">
            <v>Ноутбук Satellite2100СDT</v>
          </cell>
          <cell r="D72">
            <v>37742</v>
          </cell>
          <cell r="E72">
            <v>14575.65</v>
          </cell>
          <cell r="F72">
            <v>1</v>
          </cell>
          <cell r="G72" t="str">
            <v xml:space="preserve">Ноутбук Toshiba Satellite 2100CDT </v>
          </cell>
          <cell r="H72">
            <v>32099</v>
          </cell>
          <cell r="I72">
            <v>1</v>
          </cell>
          <cell r="J72">
            <v>32099</v>
          </cell>
        </row>
        <row r="73">
          <cell r="B73" t="str">
            <v>ООС-0104-000846</v>
          </cell>
          <cell r="C73" t="str">
            <v>Сис. Блок Vei7</v>
          </cell>
          <cell r="D73">
            <v>37742</v>
          </cell>
          <cell r="E73">
            <v>7743.32</v>
          </cell>
          <cell r="F73">
            <v>1</v>
          </cell>
          <cell r="G73" t="str">
            <v xml:space="preserve">HP Vectra VEi7 DT C466-32M4.3G/S95      HPD8126A </v>
          </cell>
          <cell r="H73">
            <v>16955</v>
          </cell>
          <cell r="I73">
            <v>1</v>
          </cell>
          <cell r="J73">
            <v>16955</v>
          </cell>
        </row>
        <row r="74">
          <cell r="B74" t="str">
            <v>ООС-0104-000864</v>
          </cell>
          <cell r="C74" t="str">
            <v>Ноутбук Sat.5205-S505</v>
          </cell>
          <cell r="D74">
            <v>37811</v>
          </cell>
          <cell r="E74">
            <v>37926.160000000003</v>
          </cell>
          <cell r="F74">
            <v>1</v>
          </cell>
          <cell r="G74" t="str">
            <v>Ноутбук Satelite 5205-S505 PS520U-31P1RV</v>
          </cell>
          <cell r="H74">
            <v>32452</v>
          </cell>
          <cell r="I74">
            <v>1</v>
          </cell>
          <cell r="J74">
            <v>32452</v>
          </cell>
        </row>
        <row r="75">
          <cell r="B75" t="str">
            <v>ООС-0104-000933</v>
          </cell>
          <cell r="C75" t="str">
            <v>Ноутбук Sat.5205-S705</v>
          </cell>
          <cell r="D75">
            <v>37935</v>
          </cell>
          <cell r="E75">
            <v>55557.71</v>
          </cell>
          <cell r="F75">
            <v>1</v>
          </cell>
          <cell r="G75" t="str">
            <v xml:space="preserve">Ноутбук Satelite 5205-S705 PS522U-XK00QR </v>
          </cell>
          <cell r="H75">
            <v>44681</v>
          </cell>
          <cell r="I75">
            <v>1</v>
          </cell>
          <cell r="J75">
            <v>44681</v>
          </cell>
        </row>
        <row r="76">
          <cell r="B76" t="str">
            <v>ООС-0104-000983</v>
          </cell>
          <cell r="C76" t="str">
            <v xml:space="preserve">Компьютерная сеть </v>
          </cell>
          <cell r="D76">
            <v>38077</v>
          </cell>
          <cell r="E76">
            <v>214352.63</v>
          </cell>
          <cell r="F76">
            <v>1</v>
          </cell>
          <cell r="G76" t="str">
            <v xml:space="preserve">3com &lt;4070 3C17707&gt; Switch 24port SFP - Сетевое оборудование 3com </v>
          </cell>
          <cell r="H76">
            <v>165924</v>
          </cell>
          <cell r="I76">
            <v>1</v>
          </cell>
          <cell r="J76">
            <v>165924</v>
          </cell>
        </row>
        <row r="77">
          <cell r="B77" t="str">
            <v>ООС-0104-000987</v>
          </cell>
          <cell r="C77" t="str">
            <v>Система ПС</v>
          </cell>
          <cell r="D77">
            <v>38077</v>
          </cell>
          <cell r="E77">
            <v>45846.14</v>
          </cell>
          <cell r="F77">
            <v>1</v>
          </cell>
          <cell r="G77" t="str">
            <v xml:space="preserve">Корунд-20СИ </v>
          </cell>
          <cell r="H77">
            <v>34614</v>
          </cell>
          <cell r="I77">
            <v>1</v>
          </cell>
          <cell r="J77">
            <v>34614</v>
          </cell>
        </row>
        <row r="78">
          <cell r="B78" t="str">
            <v>ООС-0104-000988</v>
          </cell>
          <cell r="C78" t="str">
            <v>Система теленаблюдения</v>
          </cell>
          <cell r="D78">
            <v>38077</v>
          </cell>
          <cell r="E78">
            <v>46027.199999999997</v>
          </cell>
          <cell r="F78">
            <v>1</v>
          </cell>
          <cell r="G78" t="str">
            <v>Компьютер с установленной системой теленаблюдения Магистр Complex и и комплектом Экстерн 4</v>
          </cell>
          <cell r="H78">
            <v>52087</v>
          </cell>
          <cell r="I78">
            <v>1</v>
          </cell>
          <cell r="J78">
            <v>52087</v>
          </cell>
        </row>
        <row r="79">
          <cell r="B79" t="str">
            <v>ООС-0104-000989</v>
          </cell>
          <cell r="C79" t="str">
            <v>Система П (склады)</v>
          </cell>
          <cell r="D79">
            <v>38077</v>
          </cell>
          <cell r="E79">
            <v>46662.78</v>
          </cell>
          <cell r="F79">
            <v>1</v>
          </cell>
          <cell r="G79" t="str">
            <v xml:space="preserve">Корунд-20СИ </v>
          </cell>
          <cell r="H79">
            <v>34614</v>
          </cell>
          <cell r="I79">
            <v>1</v>
          </cell>
          <cell r="J79">
            <v>34614</v>
          </cell>
        </row>
        <row r="80">
          <cell r="B80" t="str">
            <v>ООС-0104-000990</v>
          </cell>
          <cell r="C80" t="str">
            <v xml:space="preserve">телефонный кабель </v>
          </cell>
          <cell r="D80">
            <v>38077</v>
          </cell>
          <cell r="E80">
            <v>191303.2</v>
          </cell>
          <cell r="F80">
            <v>1</v>
          </cell>
          <cell r="G80" t="str">
            <v>Расходный материал</v>
          </cell>
        </row>
        <row r="81">
          <cell r="B81" t="str">
            <v>ООС-0104-000991</v>
          </cell>
          <cell r="C81" t="str">
            <v>Выделенный  канал связи</v>
          </cell>
          <cell r="D81">
            <v>38077</v>
          </cell>
          <cell r="E81">
            <v>46293.78</v>
          </cell>
          <cell r="F81">
            <v>1</v>
          </cell>
          <cell r="G81" t="str">
            <v>Услуга</v>
          </cell>
        </row>
        <row r="82">
          <cell r="B82" t="str">
            <v>ООС-0104-000992</v>
          </cell>
          <cell r="C82" t="str">
            <v>Телефонная линия</v>
          </cell>
          <cell r="D82">
            <v>38077</v>
          </cell>
          <cell r="E82">
            <v>11648</v>
          </cell>
          <cell r="F82">
            <v>1</v>
          </cell>
          <cell r="G82" t="str">
            <v>Услуга</v>
          </cell>
        </row>
        <row r="83">
          <cell r="B83" t="str">
            <v>ООС-0104-000993</v>
          </cell>
          <cell r="C83" t="str">
            <v>Пожарно-охранная сигнал.</v>
          </cell>
          <cell r="D83">
            <v>38077</v>
          </cell>
          <cell r="E83">
            <v>15344.02</v>
          </cell>
          <cell r="F83">
            <v>1</v>
          </cell>
          <cell r="G83" t="str">
            <v xml:space="preserve">БЛ-40М </v>
          </cell>
          <cell r="H83">
            <v>19901</v>
          </cell>
          <cell r="I83">
            <v>1</v>
          </cell>
          <cell r="J83">
            <v>19901</v>
          </cell>
        </row>
        <row r="84">
          <cell r="B84" t="str">
            <v>ООС-0104-000994</v>
          </cell>
          <cell r="C84" t="str">
            <v>Абон. Устр.интег. Доступа</v>
          </cell>
          <cell r="D84">
            <v>38077</v>
          </cell>
          <cell r="E84">
            <v>20961.099999999999</v>
          </cell>
          <cell r="F84">
            <v>1</v>
          </cell>
          <cell r="G84" t="str">
            <v xml:space="preserve">АТС Panasonic KX-TD50290CE for TD500 (плата ISDN 30 каналов PRI QSIG) </v>
          </cell>
          <cell r="H84">
            <v>16343</v>
          </cell>
          <cell r="I84">
            <v>1</v>
          </cell>
          <cell r="J84">
            <v>16343</v>
          </cell>
        </row>
        <row r="85">
          <cell r="B85" t="str">
            <v>ООС-0104-000995</v>
          </cell>
          <cell r="C85" t="str">
            <v>Система ОС</v>
          </cell>
          <cell r="D85">
            <v>38077</v>
          </cell>
          <cell r="E85">
            <v>50049.279999999999</v>
          </cell>
          <cell r="F85">
            <v>1</v>
          </cell>
          <cell r="G85" t="str">
            <v xml:space="preserve">Охранный комплекс Black Bug Super 85 </v>
          </cell>
          <cell r="H85">
            <v>49383</v>
          </cell>
          <cell r="I85">
            <v>1</v>
          </cell>
          <cell r="J85">
            <v>49383</v>
          </cell>
        </row>
        <row r="86">
          <cell r="B86" t="str">
            <v>ООС-0104-001008</v>
          </cell>
          <cell r="C86" t="str">
            <v>Копир MB 5645</v>
          </cell>
          <cell r="D86">
            <v>38108</v>
          </cell>
          <cell r="E86">
            <v>17077.78</v>
          </cell>
          <cell r="F86">
            <v>1</v>
          </cell>
          <cell r="G86" t="str">
            <v xml:space="preserve">КОПИР MB 5815 </v>
          </cell>
          <cell r="H86">
            <v>28807</v>
          </cell>
          <cell r="I86">
            <v>1</v>
          </cell>
          <cell r="J86">
            <v>28807</v>
          </cell>
        </row>
        <row r="87">
          <cell r="B87" t="str">
            <v>ООС-0104-001021</v>
          </cell>
          <cell r="C87" t="str">
            <v>Ноутбук IBM T41</v>
          </cell>
          <cell r="D87">
            <v>38217</v>
          </cell>
          <cell r="E87">
            <v>33348.080000000002</v>
          </cell>
          <cell r="F87">
            <v>1</v>
          </cell>
          <cell r="G87" t="str">
            <v>Ноутбук IBM ThinkPad T41 14.1" XGA</v>
          </cell>
          <cell r="H87">
            <v>52287</v>
          </cell>
          <cell r="I87">
            <v>1</v>
          </cell>
          <cell r="J87">
            <v>52287</v>
          </cell>
        </row>
        <row r="88">
          <cell r="B88" t="str">
            <v>ООС-0104-001025</v>
          </cell>
          <cell r="C88" t="str">
            <v>Монитор 17Soni X72 LCD</v>
          </cell>
          <cell r="D88">
            <v>38223</v>
          </cell>
          <cell r="E88">
            <v>33348.080000000002</v>
          </cell>
          <cell r="F88">
            <v>1</v>
          </cell>
          <cell r="G88" t="str">
            <v xml:space="preserve">Монитор LCD 17" SONY X72B </v>
          </cell>
          <cell r="H88">
            <v>21689</v>
          </cell>
          <cell r="I88">
            <v>1</v>
          </cell>
          <cell r="J88">
            <v>21689</v>
          </cell>
        </row>
        <row r="89">
          <cell r="B89" t="str">
            <v>Оос-0104-001030</v>
          </cell>
          <cell r="C89" t="str">
            <v>Сис. Блок C-HPATI</v>
          </cell>
          <cell r="D89">
            <v>38223</v>
          </cell>
          <cell r="E89">
            <v>33348.080000000002</v>
          </cell>
          <cell r="F89">
            <v>1</v>
          </cell>
          <cell r="G89" t="str">
            <v>Pentium 4/1700 MHz/256 Mb/40000 Mb/SVGA Hewlett-Packard Vectra VL420 MT P4-1.7 40GB 256MB i845 NVidiaGF2 32MB DVD (P5768A</v>
          </cell>
          <cell r="H89">
            <v>25374</v>
          </cell>
          <cell r="I89">
            <v>1</v>
          </cell>
          <cell r="J89">
            <v>25374</v>
          </cell>
        </row>
        <row r="90">
          <cell r="B90" t="str">
            <v>ООС-0104-001038</v>
          </cell>
          <cell r="C90" t="str">
            <v>Ноутбук Satel A40</v>
          </cell>
          <cell r="D90">
            <v>38223</v>
          </cell>
          <cell r="E90">
            <v>33348.080000000002</v>
          </cell>
          <cell r="F90">
            <v>1</v>
          </cell>
          <cell r="G90" t="str">
            <v xml:space="preserve">TOSHIBA Satellite PRO SPA40-RU </v>
          </cell>
          <cell r="H90">
            <v>33757</v>
          </cell>
          <cell r="I90">
            <v>1</v>
          </cell>
          <cell r="J90">
            <v>33757</v>
          </cell>
        </row>
        <row r="91">
          <cell r="B91" t="str">
            <v>ООС-0105-000167</v>
          </cell>
          <cell r="C91" t="str">
            <v>Сейф кабинетный Р-3003</v>
          </cell>
          <cell r="D91">
            <v>36539</v>
          </cell>
          <cell r="E91">
            <v>6193.48</v>
          </cell>
          <cell r="F91">
            <v>1</v>
          </cell>
          <cell r="G91" t="str">
            <v xml:space="preserve">Сейф кабинетный СК–2–108Т </v>
          </cell>
          <cell r="H91">
            <v>9322</v>
          </cell>
          <cell r="I91">
            <v>1</v>
          </cell>
          <cell r="J91">
            <v>9322</v>
          </cell>
        </row>
        <row r="92">
          <cell r="B92" t="str">
            <v>ООС-0105-000505</v>
          </cell>
          <cell r="C92" t="str">
            <v>Шкаф-купе НА</v>
          </cell>
          <cell r="D92">
            <v>37622</v>
          </cell>
          <cell r="E92">
            <v>9368.8700000000008</v>
          </cell>
          <cell r="F92">
            <v>1</v>
          </cell>
          <cell r="G92" t="str">
            <v xml:space="preserve">Эфес Атлант АН-327 шкаф-купе </v>
          </cell>
          <cell r="H92">
            <v>9114</v>
          </cell>
          <cell r="I92">
            <v>1</v>
          </cell>
          <cell r="J92">
            <v>9114</v>
          </cell>
        </row>
        <row r="93">
          <cell r="B93" t="str">
            <v>ООС-0105-000513</v>
          </cell>
          <cell r="C93" t="str">
            <v>Компл. Метал. Стелажей</v>
          </cell>
          <cell r="D93">
            <v>37742</v>
          </cell>
          <cell r="E93">
            <v>23126.47</v>
          </cell>
          <cell r="F93">
            <v>1</v>
          </cell>
          <cell r="G93" t="str">
            <v>Стеллаж металлический (1330х450х2200) (архивный)</v>
          </cell>
          <cell r="H93">
            <v>19559</v>
          </cell>
          <cell r="I93">
            <v>1</v>
          </cell>
          <cell r="J93">
            <v>19559</v>
          </cell>
        </row>
        <row r="94">
          <cell r="B94" t="str">
            <v>ООС-0105-000515</v>
          </cell>
          <cell r="C94" t="str">
            <v>Гардероб на 216 номеров</v>
          </cell>
          <cell r="D94">
            <v>37742</v>
          </cell>
          <cell r="E94">
            <v>17785.64</v>
          </cell>
          <cell r="F94">
            <v>1</v>
          </cell>
          <cell r="G94" t="str">
            <v>Гардероб</v>
          </cell>
          <cell r="H94">
            <v>19002</v>
          </cell>
          <cell r="I94">
            <v>1</v>
          </cell>
          <cell r="J94">
            <v>19002</v>
          </cell>
        </row>
        <row r="95">
          <cell r="B95" t="str">
            <v>ООС-0105-000525</v>
          </cell>
          <cell r="C95" t="str">
            <v>Жалюзи</v>
          </cell>
          <cell r="D95">
            <v>38077</v>
          </cell>
          <cell r="E95">
            <v>8731.08</v>
          </cell>
          <cell r="F95">
            <v>1</v>
          </cell>
          <cell r="G95" t="str">
            <v xml:space="preserve">Жалюзи на окна </v>
          </cell>
          <cell r="H95">
            <v>12407</v>
          </cell>
          <cell r="I95">
            <v>1</v>
          </cell>
          <cell r="J95">
            <v>12407</v>
          </cell>
        </row>
        <row r="96">
          <cell r="B96" t="str">
            <v>ООС-0105-000528</v>
          </cell>
          <cell r="C96" t="str">
            <v>Сейф несгораемый</v>
          </cell>
          <cell r="D96">
            <v>38108</v>
          </cell>
          <cell r="E96">
            <v>15175.26</v>
          </cell>
          <cell r="F96">
            <v>1</v>
          </cell>
          <cell r="G96" t="str">
            <v xml:space="preserve">Сейф AIKO ASM-120T/2 </v>
          </cell>
          <cell r="H96">
            <v>12203</v>
          </cell>
          <cell r="I96">
            <v>1</v>
          </cell>
          <cell r="J96">
            <v>12203</v>
          </cell>
        </row>
        <row r="97">
          <cell r="B97" t="str">
            <v>ООС-0105-000529</v>
          </cell>
          <cell r="C97" t="str">
            <v>Сейф двухдверный</v>
          </cell>
          <cell r="D97">
            <v>38108</v>
          </cell>
          <cell r="E97">
            <v>10422.57</v>
          </cell>
          <cell r="F97">
            <v>1</v>
          </cell>
          <cell r="G97" t="str">
            <v xml:space="preserve">Сейф кабинетный СК–2–108Т </v>
          </cell>
          <cell r="H97">
            <v>9322</v>
          </cell>
          <cell r="I97">
            <v>1</v>
          </cell>
          <cell r="J97">
            <v>9322</v>
          </cell>
        </row>
        <row r="98">
          <cell r="B98" t="str">
            <v>ООС-0105-000530</v>
          </cell>
          <cell r="C98" t="str">
            <v>Сейф двухячеячный</v>
          </cell>
          <cell r="D98">
            <v>38108</v>
          </cell>
          <cell r="E98">
            <v>10422.57</v>
          </cell>
          <cell r="F98">
            <v>1</v>
          </cell>
          <cell r="G98" t="str">
            <v xml:space="preserve">Сейф кабинетный СК–2–108Т </v>
          </cell>
          <cell r="H98">
            <v>9322</v>
          </cell>
          <cell r="I98">
            <v>1</v>
          </cell>
          <cell r="J98">
            <v>9322</v>
          </cell>
        </row>
        <row r="99">
          <cell r="B99" t="str">
            <v>ООС-0105-000531</v>
          </cell>
          <cell r="C99" t="str">
            <v>Сейф Рипис двухяч.</v>
          </cell>
          <cell r="D99">
            <v>38108</v>
          </cell>
          <cell r="E99">
            <v>9838.91</v>
          </cell>
          <cell r="F99">
            <v>1</v>
          </cell>
          <cell r="G99" t="str">
            <v xml:space="preserve">Сейф кабинетный СК–2–108Т </v>
          </cell>
          <cell r="H99">
            <v>9322</v>
          </cell>
          <cell r="I99">
            <v>1</v>
          </cell>
          <cell r="J99">
            <v>9322</v>
          </cell>
        </row>
        <row r="100">
          <cell r="B100" t="str">
            <v>ООС-0105-000532</v>
          </cell>
          <cell r="C100" t="str">
            <v>Сейф Aiko</v>
          </cell>
          <cell r="D100">
            <v>38108</v>
          </cell>
          <cell r="E100">
            <v>11840.04</v>
          </cell>
          <cell r="F100">
            <v>1</v>
          </cell>
          <cell r="G100" t="str">
            <v xml:space="preserve">Сейф AIKO ASM-120T/2 </v>
          </cell>
          <cell r="H100">
            <v>12203</v>
          </cell>
          <cell r="I100">
            <v>1</v>
          </cell>
          <cell r="J100">
            <v>12203</v>
          </cell>
        </row>
        <row r="101">
          <cell r="B101" t="str">
            <v>ООС-0104--000932</v>
          </cell>
          <cell r="C101" t="str">
            <v>Ноутбук Satellite5205-S705</v>
          </cell>
          <cell r="D101">
            <v>37935</v>
          </cell>
          <cell r="E101">
            <v>55557.71</v>
          </cell>
          <cell r="F101">
            <v>1</v>
          </cell>
          <cell r="G101" t="str">
            <v xml:space="preserve">Ноутбук Satelite 5205-S705 PS522U-XK00QR </v>
          </cell>
          <cell r="H101">
            <v>44681</v>
          </cell>
          <cell r="I101">
            <v>1</v>
          </cell>
          <cell r="J101">
            <v>44681</v>
          </cell>
        </row>
        <row r="102">
          <cell r="B102" t="str">
            <v>ООС-0104-001080</v>
          </cell>
          <cell r="C102" t="str">
            <v>Пневмонадув. Конструкция</v>
          </cell>
          <cell r="D102">
            <v>38286</v>
          </cell>
          <cell r="E102">
            <v>58937.5</v>
          </cell>
          <cell r="F102">
            <v>1</v>
          </cell>
          <cell r="G102" t="str">
            <v xml:space="preserve">ПК-Г6 6,0х3,0х4,0 </v>
          </cell>
          <cell r="H102">
            <v>55169</v>
          </cell>
          <cell r="I102">
            <v>1</v>
          </cell>
          <cell r="J102">
            <v>55169</v>
          </cell>
        </row>
        <row r="103">
          <cell r="B103" t="str">
            <v>ООС-0104-000584</v>
          </cell>
          <cell r="C103" t="str">
            <v>Проектор ASK C20</v>
          </cell>
          <cell r="D103">
            <v>37469</v>
          </cell>
          <cell r="E103">
            <v>33487.19</v>
          </cell>
          <cell r="F103">
            <v>3</v>
          </cell>
          <cell r="G103" t="str">
            <v>Проектор ASK Proxima C110, DLP, 1600 ANSI Lm, SVGA, 3.1 кг.</v>
          </cell>
          <cell r="H103">
            <v>28290</v>
          </cell>
          <cell r="I103">
            <v>1</v>
          </cell>
          <cell r="J103">
            <v>84870</v>
          </cell>
        </row>
        <row r="104">
          <cell r="B104" t="str">
            <v>ООС-0104-000285</v>
          </cell>
          <cell r="C104" t="str">
            <v>Сис. Блок Vei8</v>
          </cell>
          <cell r="D104">
            <v>36708</v>
          </cell>
          <cell r="E104">
            <v>10709.98</v>
          </cell>
          <cell r="F104">
            <v>1</v>
          </cell>
          <cell r="G104" t="str">
            <v xml:space="preserve">DT P450-64Mb/4.3Gb/MATROX G200 AGP 8mB/3Com Lan      HPD8172N </v>
          </cell>
          <cell r="H104">
            <v>24009</v>
          </cell>
          <cell r="I104">
            <v>1</v>
          </cell>
          <cell r="J104">
            <v>24009</v>
          </cell>
        </row>
        <row r="105">
          <cell r="B105" t="str">
            <v>ООС-0104-000333</v>
          </cell>
          <cell r="C105" t="str">
            <v>Сис. Блок VL400</v>
          </cell>
          <cell r="D105">
            <v>36860</v>
          </cell>
          <cell r="E105">
            <v>5573.67</v>
          </cell>
          <cell r="F105">
            <v>1</v>
          </cell>
          <cell r="G105" t="str">
            <v>Celeron/900 MHz/64 Mb/20000 Mb/SVGA Hewlett-Packard ПК HP Vectra VL400, Cel 900MHz, 64MB PC133 SDRAM, 20GB, AGP</v>
          </cell>
          <cell r="H105">
            <v>11076</v>
          </cell>
          <cell r="I105">
            <v>1</v>
          </cell>
          <cell r="J105">
            <v>11076</v>
          </cell>
        </row>
        <row r="106">
          <cell r="B106" t="str">
            <v>ООС-0104-001018</v>
          </cell>
          <cell r="C106" t="str">
            <v>Ноутбук IBM T41</v>
          </cell>
          <cell r="D106">
            <v>38217</v>
          </cell>
          <cell r="E106">
            <v>32840.31</v>
          </cell>
          <cell r="F106">
            <v>1</v>
          </cell>
          <cell r="G106" t="str">
            <v>Ноутбук IBM ThinkPad T41 14.1" XGA</v>
          </cell>
          <cell r="H106">
            <v>52287</v>
          </cell>
          <cell r="I106">
            <v>1</v>
          </cell>
          <cell r="J106">
            <v>52287</v>
          </cell>
        </row>
        <row r="107">
          <cell r="B107" t="str">
            <v>ООС-0104-001019</v>
          </cell>
          <cell r="C107" t="str">
            <v>Ноутбук IBM T41</v>
          </cell>
          <cell r="D107">
            <v>38217</v>
          </cell>
          <cell r="E107">
            <v>32840.31</v>
          </cell>
          <cell r="F107">
            <v>1</v>
          </cell>
          <cell r="G107" t="str">
            <v>Ноутбук IBM ThinkPad T41 14.1" XGA</v>
          </cell>
          <cell r="H107">
            <v>52287</v>
          </cell>
          <cell r="I107">
            <v>1</v>
          </cell>
          <cell r="J107">
            <v>52287</v>
          </cell>
        </row>
        <row r="108">
          <cell r="B108" t="str">
            <v>ООС-0104-001076</v>
          </cell>
          <cell r="C108" t="str">
            <v>Конструкция премьер</v>
          </cell>
          <cell r="D108">
            <v>38268</v>
          </cell>
          <cell r="E108">
            <v>16752.97</v>
          </cell>
          <cell r="F108">
            <v>1</v>
          </cell>
          <cell r="G108" t="str">
            <v>Стол "ПРЕМЬЕР-Т" 150 (195/240) х 100</v>
          </cell>
          <cell r="H108">
            <v>12391</v>
          </cell>
          <cell r="I108">
            <v>1</v>
          </cell>
          <cell r="J108">
            <v>12391</v>
          </cell>
        </row>
        <row r="109">
          <cell r="B109" t="str">
            <v>ООС-0104-001078</v>
          </cell>
          <cell r="C109" t="str">
            <v>Бокс-трибуна</v>
          </cell>
          <cell r="D109">
            <v>38268</v>
          </cell>
          <cell r="E109">
            <v>10393.85</v>
          </cell>
          <cell r="F109">
            <v>1</v>
          </cell>
          <cell r="G109" t="str">
            <v xml:space="preserve">Бокс-трибуна на колесиках </v>
          </cell>
          <cell r="H109">
            <v>9876</v>
          </cell>
          <cell r="I109">
            <v>1</v>
          </cell>
          <cell r="J109">
            <v>9876</v>
          </cell>
        </row>
        <row r="110">
          <cell r="B110" t="str">
            <v>ООС-0104-001079</v>
          </cell>
          <cell r="C110" t="str">
            <v>Стол-рецешн</v>
          </cell>
          <cell r="D110">
            <v>38268</v>
          </cell>
          <cell r="E110">
            <v>14443.22</v>
          </cell>
          <cell r="F110">
            <v>1</v>
          </cell>
          <cell r="G110" t="str">
            <v>Стол рабочий</v>
          </cell>
          <cell r="H110">
            <v>15756</v>
          </cell>
          <cell r="I110">
            <v>1</v>
          </cell>
          <cell r="J110">
            <v>15756</v>
          </cell>
        </row>
        <row r="111">
          <cell r="B111" t="str">
            <v>ООС-0104-000922</v>
          </cell>
          <cell r="C111" t="str">
            <v>Ноутбук Satellite2800</v>
          </cell>
          <cell r="D111">
            <v>37894</v>
          </cell>
          <cell r="E111">
            <v>26049.67</v>
          </cell>
          <cell r="F111">
            <v>1</v>
          </cell>
          <cell r="G111" t="str">
            <v xml:space="preserve">Ноутбук Toshiba Satellite 2805-S302 </v>
          </cell>
          <cell r="H111">
            <v>13875</v>
          </cell>
          <cell r="I111">
            <v>1</v>
          </cell>
          <cell r="J111">
            <v>13875</v>
          </cell>
        </row>
        <row r="112">
          <cell r="B112" t="str">
            <v>ООС-0104-000924</v>
          </cell>
          <cell r="C112" t="str">
            <v>Сис.блок+монитор Sonic</v>
          </cell>
          <cell r="D112">
            <v>37894</v>
          </cell>
          <cell r="E112">
            <v>9945.64</v>
          </cell>
          <cell r="F112">
            <v>1</v>
          </cell>
          <cell r="G112" t="str">
            <v xml:space="preserve">Celeron/900 MHz/64 Mb/20000 Mb/SVGA Hewlett-Packard ПК HP Vectra VL400, Cel 900MHz, 64MB PC133 SDRAM, 20GB, AGP и Монитор 15'' ViewSonic E651 </v>
          </cell>
          <cell r="H112">
            <v>15097</v>
          </cell>
          <cell r="I112">
            <v>1</v>
          </cell>
          <cell r="J112">
            <v>15097</v>
          </cell>
        </row>
        <row r="113">
          <cell r="B113" t="str">
            <v>ООС-0104-000923</v>
          </cell>
          <cell r="C113" t="str">
            <v>Сис.блок+монитор HP Vek</v>
          </cell>
          <cell r="D113">
            <v>37894</v>
          </cell>
          <cell r="E113">
            <v>17967.55</v>
          </cell>
          <cell r="F113">
            <v>1</v>
          </cell>
          <cell r="G113" t="str">
            <v xml:space="preserve">Celeron/900 MHz/64 Mb/20000 Mb/SVGA Hewlett-Packard ПК HP Vectra VL400, Cel 900MHz, 64MB PC133 SDRAM, 20GB, AGP и Монитор 15'' ViewSonic E651 </v>
          </cell>
          <cell r="H113">
            <v>15097</v>
          </cell>
          <cell r="I113">
            <v>1</v>
          </cell>
          <cell r="J113">
            <v>15097</v>
          </cell>
        </row>
        <row r="114">
          <cell r="B114" t="str">
            <v>ООС-0104-000914</v>
          </cell>
          <cell r="C114" t="str">
            <v>Ноутбук Satel 1800-S203</v>
          </cell>
          <cell r="D114">
            <v>37894</v>
          </cell>
          <cell r="E114">
            <v>28190.61</v>
          </cell>
          <cell r="F114">
            <v>1</v>
          </cell>
          <cell r="G114" t="str">
            <v xml:space="preserve">Ноутбук Toshiba Satellite 2805-S302 </v>
          </cell>
          <cell r="H114">
            <v>13875</v>
          </cell>
          <cell r="I114">
            <v>1</v>
          </cell>
          <cell r="J114">
            <v>13875</v>
          </cell>
        </row>
        <row r="115">
          <cell r="B115" t="str">
            <v>ООС-0104-000915</v>
          </cell>
          <cell r="C115" t="str">
            <v>Принтер HP LJ1100</v>
          </cell>
          <cell r="D115">
            <v>37894</v>
          </cell>
          <cell r="E115">
            <v>8315.43</v>
          </cell>
          <cell r="F115">
            <v>1</v>
          </cell>
          <cell r="G115" t="str">
            <v xml:space="preserve">Принтер HP LaserJet 1100 (C4224A) 8 стр/ мин </v>
          </cell>
          <cell r="H115">
            <v>8653</v>
          </cell>
          <cell r="I115">
            <v>1</v>
          </cell>
          <cell r="J115">
            <v>8653</v>
          </cell>
        </row>
        <row r="116">
          <cell r="B116" t="str">
            <v>ООС-0104-000913</v>
          </cell>
          <cell r="C116" t="str">
            <v>Ноутбук Satel SPA40</v>
          </cell>
          <cell r="D116">
            <v>37894</v>
          </cell>
          <cell r="E116">
            <v>23448.27</v>
          </cell>
          <cell r="F116">
            <v>1</v>
          </cell>
          <cell r="G116" t="str">
            <v xml:space="preserve">TOSHIBA Satellite PRO SPA40-RU </v>
          </cell>
          <cell r="H116">
            <v>33757</v>
          </cell>
          <cell r="I116">
            <v>1</v>
          </cell>
          <cell r="J116">
            <v>33757</v>
          </cell>
        </row>
        <row r="117">
          <cell r="B117" t="str">
            <v>ООС-0104-000916</v>
          </cell>
          <cell r="C117" t="str">
            <v>Сис.блок+монитор HP</v>
          </cell>
          <cell r="D117">
            <v>37894</v>
          </cell>
          <cell r="E117">
            <v>23487.52</v>
          </cell>
          <cell r="F117">
            <v>1</v>
          </cell>
          <cell r="G117" t="str">
            <v xml:space="preserve">Celeron/900 MHz/64 Mb/20000 Mb/SVGA Hewlett-Packard ПК HP Vectra VL400, Cel 900MHz, 64MB PC133 SDRAM, 20GB, AGP и Монитор 15'' ViewSonic E651 </v>
          </cell>
          <cell r="H117">
            <v>15097</v>
          </cell>
          <cell r="I117">
            <v>1</v>
          </cell>
          <cell r="J117">
            <v>15097</v>
          </cell>
        </row>
        <row r="118">
          <cell r="B118" t="str">
            <v>ООС-0104-000918</v>
          </cell>
          <cell r="C118" t="str">
            <v>Сис.блок+монитор VL410</v>
          </cell>
          <cell r="D118">
            <v>37894</v>
          </cell>
          <cell r="E118">
            <v>19155.14</v>
          </cell>
          <cell r="F118">
            <v>1</v>
          </cell>
          <cell r="G118" t="str">
            <v xml:space="preserve">Pentium 4/1600 MHz/256 Mb/20000 Mb/SVGA Hewlett-Packard HP Vectra VL410 DT P4-1.6GHz 256M20G CDLAN W98 (P5974A и ViewSonic VP 140 TCO'99 </v>
          </cell>
          <cell r="H118">
            <v>26008</v>
          </cell>
          <cell r="I118">
            <v>1</v>
          </cell>
          <cell r="J118">
            <v>26008</v>
          </cell>
        </row>
        <row r="119">
          <cell r="B119" t="str">
            <v>ООС-0104-000917</v>
          </cell>
          <cell r="C119" t="str">
            <v>Сис.блок+монитор HP</v>
          </cell>
          <cell r="D119">
            <v>37894</v>
          </cell>
          <cell r="E119">
            <v>22438.959999999999</v>
          </cell>
          <cell r="F119">
            <v>1</v>
          </cell>
          <cell r="G119" t="str">
            <v xml:space="preserve">Celeron/900 MHz/64 Mb/20000 Mb/SVGA Hewlett-Packard ПК HP Vectra VL400, Cel 900MHz, 64MB PC133 SDRAM, 20GB, AGP и Монитор 15'' ViewSonic E651 </v>
          </cell>
          <cell r="H119">
            <v>15097</v>
          </cell>
          <cell r="I119">
            <v>1</v>
          </cell>
          <cell r="J119">
            <v>15097</v>
          </cell>
        </row>
        <row r="120">
          <cell r="B120" t="str">
            <v>ООС-0104-000920</v>
          </cell>
          <cell r="C120" t="str">
            <v>Сис.блок+монитор HP</v>
          </cell>
          <cell r="D120">
            <v>37894</v>
          </cell>
          <cell r="E120">
            <v>19155.14</v>
          </cell>
          <cell r="F120">
            <v>1</v>
          </cell>
          <cell r="G120" t="str">
            <v xml:space="preserve">Celeron/900 MHz/64 Mb/20000 Mb/SVGA Hewlett-Packard ПК HP Vectra VL400, Cel 900MHz, 64MB PC133 SDRAM, 20GB, AGP и Монитор 15'' ViewSonic E651 </v>
          </cell>
          <cell r="H120">
            <v>15097</v>
          </cell>
          <cell r="I120">
            <v>1</v>
          </cell>
          <cell r="J120">
            <v>15097</v>
          </cell>
        </row>
        <row r="121">
          <cell r="B121" t="str">
            <v>ООС-0104-001031</v>
          </cell>
          <cell r="C121" t="str">
            <v>Сис. Блок P4</v>
          </cell>
          <cell r="D121">
            <v>38223</v>
          </cell>
          <cell r="E121">
            <v>33348.080000000002</v>
          </cell>
          <cell r="F121">
            <v>1</v>
          </cell>
          <cell r="G121" t="str">
            <v>Pentium 4/1700 MHz/256 Mb/40000 Mb/SVGA Hewlett-Packard Vectra VL420 MT P4-1.7 40GB 256MB i845 NVidiaGF2 32MB DVD (P5768A</v>
          </cell>
          <cell r="H121">
            <v>25374</v>
          </cell>
          <cell r="I121">
            <v>1</v>
          </cell>
          <cell r="J121">
            <v>25374</v>
          </cell>
        </row>
        <row r="122">
          <cell r="B122" t="str">
            <v>ООС-0104-001032</v>
          </cell>
          <cell r="C122" t="str">
            <v>Сис. Блок P4</v>
          </cell>
          <cell r="D122">
            <v>38223</v>
          </cell>
          <cell r="E122">
            <v>33348.080000000002</v>
          </cell>
          <cell r="F122">
            <v>1</v>
          </cell>
          <cell r="G122" t="str">
            <v>Pentium 4/1700 MHz/256 Mb/40000 Mb/SVGA Hewlett-Packard Vectra VL420 MT P4-1.7 40GB 256MB i845 NVidiaGF2 32MB DVD (P5768A</v>
          </cell>
          <cell r="H122">
            <v>25374</v>
          </cell>
          <cell r="I122">
            <v>1</v>
          </cell>
          <cell r="J122">
            <v>25374</v>
          </cell>
        </row>
        <row r="123">
          <cell r="B123" t="str">
            <v>ООС-0104-001033</v>
          </cell>
          <cell r="C123" t="str">
            <v>Сис. Блок P4</v>
          </cell>
          <cell r="D123">
            <v>38223</v>
          </cell>
          <cell r="E123">
            <v>33348.080000000002</v>
          </cell>
          <cell r="F123">
            <v>1</v>
          </cell>
          <cell r="G123" t="str">
            <v>Pentium 4/1700 MHz/256 Mb/40000 Mb/SVGA Hewlett-Packard Vectra VL420 MT P4-1.7 40GB 256MB i845 NVidiaGF2 32MB DVD (P5768A</v>
          </cell>
          <cell r="H123">
            <v>25374</v>
          </cell>
          <cell r="I123">
            <v>1</v>
          </cell>
          <cell r="J123">
            <v>25374</v>
          </cell>
        </row>
        <row r="124">
          <cell r="B124" t="str">
            <v>ООС-0104-001034</v>
          </cell>
          <cell r="C124" t="str">
            <v>Сис. Блок P4</v>
          </cell>
          <cell r="D124">
            <v>38223</v>
          </cell>
          <cell r="E124">
            <v>33348.080000000002</v>
          </cell>
          <cell r="F124">
            <v>1</v>
          </cell>
          <cell r="G124" t="str">
            <v>Pentium 4/1700 MHz/256 Mb/40000 Mb/SVGA Hewlett-Packard Vectra VL420 MT P4-1.7 40GB 256MB i845 NVidiaGF2 32MB DVD (P5768A</v>
          </cell>
          <cell r="H124">
            <v>25374</v>
          </cell>
          <cell r="I124">
            <v>1</v>
          </cell>
          <cell r="J124">
            <v>25374</v>
          </cell>
        </row>
        <row r="125">
          <cell r="B125" t="str">
            <v>ООС-0104-001035</v>
          </cell>
          <cell r="C125" t="str">
            <v>Монитор VP191</v>
          </cell>
          <cell r="D125">
            <v>38223</v>
          </cell>
          <cell r="E125">
            <v>33348.080000000002</v>
          </cell>
          <cell r="F125">
            <v>1</v>
          </cell>
          <cell r="G125" t="str">
            <v xml:space="preserve">Монитор ViewSonic 19" TFT VP191b </v>
          </cell>
          <cell r="H125">
            <v>14580</v>
          </cell>
          <cell r="I125">
            <v>1</v>
          </cell>
          <cell r="J125">
            <v>14580</v>
          </cell>
        </row>
        <row r="126">
          <cell r="B126" t="str">
            <v>ООС-0104-001036</v>
          </cell>
          <cell r="C126" t="str">
            <v>Монитор VP191</v>
          </cell>
          <cell r="D126">
            <v>38223</v>
          </cell>
          <cell r="E126">
            <v>33348.080000000002</v>
          </cell>
          <cell r="F126">
            <v>1</v>
          </cell>
          <cell r="G126" t="str">
            <v xml:space="preserve">Монитор ViewSonic 19" TFT VP191b </v>
          </cell>
          <cell r="H126">
            <v>14580</v>
          </cell>
          <cell r="I126">
            <v>1</v>
          </cell>
          <cell r="J126">
            <v>14580</v>
          </cell>
        </row>
        <row r="127">
          <cell r="B127" t="str">
            <v>ООС-0104-001037</v>
          </cell>
          <cell r="C127" t="str">
            <v>Монитор VP191</v>
          </cell>
          <cell r="D127">
            <v>38223</v>
          </cell>
          <cell r="E127">
            <v>33348.080000000002</v>
          </cell>
          <cell r="F127">
            <v>1</v>
          </cell>
          <cell r="G127" t="str">
            <v xml:space="preserve">Монитор ViewSonic 19" TFT VP191b </v>
          </cell>
          <cell r="H127">
            <v>14580</v>
          </cell>
          <cell r="I127">
            <v>1</v>
          </cell>
          <cell r="J127">
            <v>14580</v>
          </cell>
        </row>
        <row r="128">
          <cell r="B128" t="str">
            <v>ООС-0104-00111</v>
          </cell>
          <cell r="C128" t="str">
            <v>Батарейка SUPS1400</v>
          </cell>
          <cell r="D128">
            <v>36433</v>
          </cell>
          <cell r="E128">
            <v>921.47</v>
          </cell>
          <cell r="F128">
            <v>1</v>
          </cell>
          <cell r="G128" t="str">
            <v>SU1000XLINET</v>
          </cell>
          <cell r="H128">
            <v>4421</v>
          </cell>
          <cell r="I128">
            <v>1</v>
          </cell>
          <cell r="J128">
            <v>4421</v>
          </cell>
        </row>
        <row r="129">
          <cell r="B129" t="str">
            <v>ООС-0104-00112</v>
          </cell>
          <cell r="C129" t="str">
            <v>Ноутбук Satell 4030CDT</v>
          </cell>
          <cell r="D129">
            <v>36433</v>
          </cell>
          <cell r="E129">
            <v>3761.91</v>
          </cell>
          <cell r="F129">
            <v>1</v>
          </cell>
          <cell r="G129" t="str">
            <v xml:space="preserve">Toshiba Satellite Pro 4600 </v>
          </cell>
          <cell r="H129">
            <v>14746</v>
          </cell>
          <cell r="I129">
            <v>1</v>
          </cell>
          <cell r="J129">
            <v>14746</v>
          </cell>
        </row>
        <row r="130">
          <cell r="B130" t="str">
            <v>ООС-0104-000118</v>
          </cell>
          <cell r="C130" t="str">
            <v>Сис.блок VEi8</v>
          </cell>
          <cell r="D130">
            <v>36464</v>
          </cell>
          <cell r="E130">
            <v>3164.47</v>
          </cell>
          <cell r="F130">
            <v>1</v>
          </cell>
          <cell r="G130" t="str">
            <v xml:space="preserve">DT P450-64Mb/4.3Gb/MATROX G200 AGP 8mB/3Com Lan      HPD8172N </v>
          </cell>
          <cell r="H130">
            <v>24009</v>
          </cell>
          <cell r="I130">
            <v>1</v>
          </cell>
          <cell r="J130">
            <v>24009</v>
          </cell>
        </row>
        <row r="131">
          <cell r="B131" t="str">
            <v>ООС-0104-000196</v>
          </cell>
          <cell r="C131" t="str">
            <v>Сис. Блок VEi7</v>
          </cell>
          <cell r="D131">
            <v>38091</v>
          </cell>
          <cell r="E131">
            <v>4899.0200000000004</v>
          </cell>
          <cell r="F131">
            <v>1</v>
          </cell>
          <cell r="G131" t="str">
            <v xml:space="preserve">HP Vectra VEi7 DT C466-32M4.3G/S95      HPD8126A </v>
          </cell>
          <cell r="H131">
            <v>16955</v>
          </cell>
          <cell r="I131">
            <v>1</v>
          </cell>
          <cell r="J131">
            <v>16955</v>
          </cell>
        </row>
        <row r="132">
          <cell r="B132" t="str">
            <v>ООС-010-000214</v>
          </cell>
          <cell r="C132" t="str">
            <v>Ноутбук Satell 2650XDVD</v>
          </cell>
          <cell r="D132">
            <v>36651</v>
          </cell>
          <cell r="E132">
            <v>15186.6</v>
          </cell>
          <cell r="F132">
            <v>1</v>
          </cell>
          <cell r="G132" t="str">
            <v xml:space="preserve">Ноутбук Toshiba Satellite 2805-S302 </v>
          </cell>
          <cell r="H132">
            <v>13875</v>
          </cell>
          <cell r="I132">
            <v>1</v>
          </cell>
          <cell r="J132">
            <v>13875</v>
          </cell>
        </row>
        <row r="133">
          <cell r="B133" t="str">
            <v>ООС-0104-000334</v>
          </cell>
          <cell r="C133" t="str">
            <v>Сис.блок VL400</v>
          </cell>
          <cell r="D133">
            <v>36852</v>
          </cell>
          <cell r="E133">
            <v>5362.29</v>
          </cell>
          <cell r="F133">
            <v>1</v>
          </cell>
          <cell r="G133" t="str">
            <v>Celeron/900 MHz/64 Mb/20000 Mb/SVGA Hewlett-Packard ПК HP Vectra VL400, Cel 900MHz, 64MB PC133 SDRAM, 20GB, AGP</v>
          </cell>
          <cell r="H133">
            <v>11076</v>
          </cell>
          <cell r="I133">
            <v>1</v>
          </cell>
          <cell r="J133">
            <v>11076</v>
          </cell>
        </row>
        <row r="134">
          <cell r="B134" t="str">
            <v>ООС-0104-000731</v>
          </cell>
          <cell r="C134" t="str">
            <v>Ноутбук Satell 2805-S402</v>
          </cell>
          <cell r="D134">
            <v>37622</v>
          </cell>
          <cell r="E134">
            <v>44540.47</v>
          </cell>
          <cell r="F134">
            <v>1</v>
          </cell>
          <cell r="G134" t="str">
            <v xml:space="preserve">Ноутбук Toshiba Satellite 2805-S402 </v>
          </cell>
          <cell r="H134">
            <v>39953</v>
          </cell>
          <cell r="I134">
            <v>1</v>
          </cell>
          <cell r="J134">
            <v>39953</v>
          </cell>
        </row>
        <row r="135">
          <cell r="B135" t="str">
            <v>ООС-0104-000802</v>
          </cell>
          <cell r="C135" t="str">
            <v>Ноутбук Satell 2805-S503</v>
          </cell>
          <cell r="D135">
            <v>37742</v>
          </cell>
          <cell r="E135">
            <v>0</v>
          </cell>
          <cell r="F135">
            <v>1</v>
          </cell>
          <cell r="G135" t="str">
            <v>Ноутбук Toshiba Satellite 2805-S503</v>
          </cell>
          <cell r="H135">
            <v>60710</v>
          </cell>
          <cell r="I135">
            <v>1</v>
          </cell>
          <cell r="J135">
            <v>60710</v>
          </cell>
        </row>
        <row r="136">
          <cell r="B136" t="str">
            <v>ООС-0104-000853</v>
          </cell>
          <cell r="C136" t="str">
            <v>Ноутбук OmnibookXE3</v>
          </cell>
          <cell r="D136">
            <v>37742</v>
          </cell>
          <cell r="E136">
            <v>39006.67</v>
          </cell>
          <cell r="F136">
            <v>1</v>
          </cell>
          <cell r="G136" t="str">
            <v>HP OmniBook XE3 Pentium III</v>
          </cell>
          <cell r="H136">
            <v>18593</v>
          </cell>
          <cell r="I136">
            <v>1</v>
          </cell>
          <cell r="J136">
            <v>18593</v>
          </cell>
        </row>
        <row r="137">
          <cell r="B137" t="str">
            <v>ООС-0105-000119</v>
          </cell>
          <cell r="C137" t="str">
            <v>Напол. Монтаж.шкаф42U</v>
          </cell>
          <cell r="D137">
            <v>36464</v>
          </cell>
          <cell r="E137">
            <v>10780.32</v>
          </cell>
          <cell r="F137">
            <v>1</v>
          </cell>
          <cell r="G137" t="str">
            <v xml:space="preserve">Серверный шкаф, 42U </v>
          </cell>
          <cell r="H137">
            <v>56259</v>
          </cell>
          <cell r="I137">
            <v>1</v>
          </cell>
          <cell r="J137">
            <v>56259</v>
          </cell>
        </row>
        <row r="138">
          <cell r="B138" t="str">
            <v>ООС-0105-000450</v>
          </cell>
          <cell r="C138" t="str">
            <v>Шкаф А722К000с полками</v>
          </cell>
          <cell r="D138">
            <v>37254</v>
          </cell>
          <cell r="E138">
            <v>0</v>
          </cell>
          <cell r="F138">
            <v>1</v>
          </cell>
          <cell r="G138" t="str">
            <v xml:space="preserve">Шкаф BISLEY (Великобритания), А-722, 1649х457х914 мм </v>
          </cell>
          <cell r="H138">
            <v>10305</v>
          </cell>
          <cell r="I138">
            <v>1</v>
          </cell>
          <cell r="J138">
            <v>10305</v>
          </cell>
        </row>
        <row r="139">
          <cell r="B139" t="str">
            <v>ООС-0104-000931</v>
          </cell>
          <cell r="C139" t="str">
            <v>Ноутбук Satell 5205-S705</v>
          </cell>
          <cell r="D139">
            <v>37935</v>
          </cell>
          <cell r="E139">
            <v>55557.71</v>
          </cell>
          <cell r="F139">
            <v>1</v>
          </cell>
          <cell r="G139" t="str">
            <v xml:space="preserve">Ноутбук Satelite 5205-S705 PS522U-XK00QR </v>
          </cell>
          <cell r="H139">
            <v>44681</v>
          </cell>
          <cell r="I139">
            <v>1</v>
          </cell>
          <cell r="J139">
            <v>44681</v>
          </cell>
        </row>
        <row r="140">
          <cell r="B140" t="str">
            <v>ООС-0104-000222</v>
          </cell>
          <cell r="C140" t="str">
            <v>Ноутбук satell 2715XDVD</v>
          </cell>
          <cell r="D140">
            <v>36683</v>
          </cell>
          <cell r="E140">
            <v>13134.04</v>
          </cell>
          <cell r="F140">
            <v>1</v>
          </cell>
          <cell r="G140" t="str">
            <v xml:space="preserve">Ноутбук Toshiba Satellite 2805-S302 </v>
          </cell>
          <cell r="H140">
            <v>13875</v>
          </cell>
          <cell r="I140">
            <v>1</v>
          </cell>
          <cell r="J140">
            <v>13875</v>
          </cell>
        </row>
        <row r="141">
          <cell r="B141" t="str">
            <v>ООС-0104-000223</v>
          </cell>
          <cell r="C141" t="str">
            <v>Ноутбук Satell 440 CDX</v>
          </cell>
          <cell r="D141">
            <v>36685</v>
          </cell>
          <cell r="E141">
            <v>16036.5</v>
          </cell>
          <cell r="F141">
            <v>1</v>
          </cell>
          <cell r="G141" t="str">
            <v xml:space="preserve">Toshiba Satellite Pro 4600 </v>
          </cell>
          <cell r="H141">
            <v>14746</v>
          </cell>
          <cell r="I141">
            <v>1</v>
          </cell>
          <cell r="J141">
            <v>14746</v>
          </cell>
        </row>
        <row r="142">
          <cell r="B142" t="str">
            <v>ООС-0104-000227</v>
          </cell>
          <cell r="C142" t="str">
            <v>Сис. Блок HPCLJ8550N</v>
          </cell>
          <cell r="D142">
            <v>36682</v>
          </cell>
          <cell r="E142">
            <v>75877.83</v>
          </cell>
          <cell r="F142">
            <v>1</v>
          </cell>
          <cell r="G142" t="str">
            <v>Системный блок ES Server 1</v>
          </cell>
          <cell r="H142">
            <v>60508</v>
          </cell>
          <cell r="I142">
            <v>1</v>
          </cell>
          <cell r="J142">
            <v>60508</v>
          </cell>
        </row>
        <row r="143">
          <cell r="B143" t="str">
            <v>ООС-0104-000228</v>
          </cell>
          <cell r="C143" t="str">
            <v>Сис. Блок Vei8</v>
          </cell>
          <cell r="D143">
            <v>36682</v>
          </cell>
          <cell r="E143">
            <v>6376.88</v>
          </cell>
          <cell r="F143">
            <v>1</v>
          </cell>
          <cell r="G143" t="str">
            <v xml:space="preserve">DT P450-64Mb/4.3Gb/MATROX G200 AGP 8mB/3Com Lan      HPD8172N </v>
          </cell>
          <cell r="H143">
            <v>24009</v>
          </cell>
          <cell r="I143">
            <v>1</v>
          </cell>
          <cell r="J143">
            <v>24009</v>
          </cell>
        </row>
        <row r="144">
          <cell r="B144" t="str">
            <v>ООС-0104-000229</v>
          </cell>
          <cell r="C144" t="str">
            <v>Сис. Блок Vei8</v>
          </cell>
          <cell r="D144">
            <v>36682</v>
          </cell>
          <cell r="E144">
            <v>6376.88</v>
          </cell>
          <cell r="F144">
            <v>1</v>
          </cell>
          <cell r="G144" t="str">
            <v xml:space="preserve">DT P450-64Mb/4.3Gb/MATROX G200 AGP 8mB/3Com Lan      HPD8172N </v>
          </cell>
          <cell r="H144">
            <v>24009</v>
          </cell>
          <cell r="I144">
            <v>1</v>
          </cell>
          <cell r="J144">
            <v>24009</v>
          </cell>
        </row>
        <row r="145">
          <cell r="B145" t="str">
            <v>ООС-0104-000230</v>
          </cell>
          <cell r="C145" t="str">
            <v>Сис. Блок Vei8</v>
          </cell>
          <cell r="D145">
            <v>36682</v>
          </cell>
          <cell r="E145">
            <v>6376.88</v>
          </cell>
          <cell r="F145">
            <v>1</v>
          </cell>
          <cell r="G145" t="str">
            <v xml:space="preserve">DT P450-64Mb/4.3Gb/MATROX G200 AGP 8mB/3Com Lan      HPD8172N </v>
          </cell>
          <cell r="H145">
            <v>24009</v>
          </cell>
          <cell r="I145">
            <v>1</v>
          </cell>
          <cell r="J145">
            <v>24009</v>
          </cell>
        </row>
        <row r="146">
          <cell r="B146" t="str">
            <v>ООС-0104-000231</v>
          </cell>
          <cell r="C146" t="str">
            <v>Сис. Блок Vei8</v>
          </cell>
          <cell r="D146">
            <v>36682</v>
          </cell>
          <cell r="E146">
            <v>6376.88</v>
          </cell>
          <cell r="F146">
            <v>1</v>
          </cell>
          <cell r="G146" t="str">
            <v xml:space="preserve">DT P450-64Mb/4.3Gb/MATROX G200 AGP 8mB/3Com Lan      HPD8172N </v>
          </cell>
          <cell r="H146">
            <v>24009</v>
          </cell>
          <cell r="I146">
            <v>1</v>
          </cell>
          <cell r="J146">
            <v>24009</v>
          </cell>
        </row>
        <row r="147">
          <cell r="B147" t="str">
            <v>ООС-0104-000298</v>
          </cell>
          <cell r="C147" t="str">
            <v>Принтер HPLJ4050N</v>
          </cell>
          <cell r="D147">
            <v>36708</v>
          </cell>
          <cell r="E147">
            <v>18199.98</v>
          </cell>
          <cell r="F147">
            <v>1</v>
          </cell>
          <cell r="G147" t="str">
            <v xml:space="preserve">HP LaserJet 4050N (C4253A) A4 16 стр/ мин сетевой 1200dpi </v>
          </cell>
          <cell r="H147">
            <v>44522</v>
          </cell>
          <cell r="I147">
            <v>1</v>
          </cell>
          <cell r="J147">
            <v>44522</v>
          </cell>
        </row>
        <row r="148">
          <cell r="B148" t="str">
            <v>ООС-0104-000300</v>
          </cell>
          <cell r="C148" t="str">
            <v>Сис. Блок Vei7</v>
          </cell>
          <cell r="D148">
            <v>36735</v>
          </cell>
          <cell r="E148">
            <v>10126.120000000001</v>
          </cell>
          <cell r="F148">
            <v>1</v>
          </cell>
          <cell r="G148" t="str">
            <v xml:space="preserve">HP Vectra VEi7 DT C466-32M4.3G/S95      HPD8126A </v>
          </cell>
          <cell r="H148">
            <v>16955</v>
          </cell>
          <cell r="I148">
            <v>1</v>
          </cell>
          <cell r="J148">
            <v>16955</v>
          </cell>
        </row>
        <row r="149">
          <cell r="B149" t="str">
            <v>ООС-0104-000306</v>
          </cell>
          <cell r="C149" t="str">
            <v>Серверный шкаф</v>
          </cell>
          <cell r="D149">
            <v>36755</v>
          </cell>
          <cell r="E149">
            <v>7988.04</v>
          </cell>
          <cell r="F149">
            <v>1</v>
          </cell>
          <cell r="G149" t="str">
            <v>Шкаф серверный настенный IMnet 310 &lt;287080K&gt; 17U, 570*815*400мм</v>
          </cell>
          <cell r="H149">
            <v>8612</v>
          </cell>
          <cell r="I149">
            <v>1</v>
          </cell>
          <cell r="J149">
            <v>8612</v>
          </cell>
        </row>
        <row r="150">
          <cell r="B150" t="str">
            <v>ООС-0104-000310</v>
          </cell>
          <cell r="C150" t="str">
            <v>Сис. Блок Vei7</v>
          </cell>
          <cell r="D150">
            <v>36770</v>
          </cell>
          <cell r="E150">
            <v>4876.1000000000004</v>
          </cell>
          <cell r="F150">
            <v>1</v>
          </cell>
          <cell r="G150" t="str">
            <v xml:space="preserve">HP Vectra VEi7 DT C466-32M4.3G/S95      HPD8126A </v>
          </cell>
          <cell r="H150">
            <v>16955</v>
          </cell>
          <cell r="I150">
            <v>1</v>
          </cell>
          <cell r="J150">
            <v>16955</v>
          </cell>
        </row>
        <row r="151">
          <cell r="B151" t="str">
            <v>ООС-0104-000345</v>
          </cell>
          <cell r="C151" t="str">
            <v>Сетевое обор.SSwitch6000</v>
          </cell>
          <cell r="D151">
            <v>36861</v>
          </cell>
          <cell r="E151">
            <v>32470.49</v>
          </cell>
          <cell r="F151">
            <v>1</v>
          </cell>
          <cell r="G151" t="str">
            <v xml:space="preserve">Модуль Catalyst 6000 16-port Gig-Ethernet Mod. </v>
          </cell>
          <cell r="H151">
            <v>13475</v>
          </cell>
          <cell r="I151">
            <v>1</v>
          </cell>
          <cell r="J151">
            <v>13475</v>
          </cell>
        </row>
        <row r="152">
          <cell r="B152" t="str">
            <v>ООС-0104-000346</v>
          </cell>
          <cell r="C152" t="str">
            <v>Сис. Блок HP-7</v>
          </cell>
          <cell r="D152">
            <v>36879</v>
          </cell>
          <cell r="E152">
            <v>19395.04</v>
          </cell>
          <cell r="F152">
            <v>1</v>
          </cell>
          <cell r="G152" t="str">
            <v xml:space="preserve">HP Vectra VEi7 DT C466-32M4.3G/S95      HPD8126A </v>
          </cell>
          <cell r="H152">
            <v>16955</v>
          </cell>
          <cell r="I152">
            <v>1</v>
          </cell>
          <cell r="J152">
            <v>16955</v>
          </cell>
        </row>
        <row r="153">
          <cell r="B153" t="str">
            <v>ООС-0104-000347</v>
          </cell>
          <cell r="C153" t="str">
            <v>Сервер HP LH6000</v>
          </cell>
          <cell r="D153">
            <v>36861</v>
          </cell>
          <cell r="E153">
            <v>817937.86</v>
          </cell>
          <cell r="F153">
            <v>1</v>
          </cell>
          <cell r="G153" t="str">
            <v>HP NetServer LH6000R PIIIX-900 2MB HDD 20Gb U3 (Up to 6 CPU/256MB/no HDD/Raid/HS/CD/FastEth)</v>
          </cell>
          <cell r="H153">
            <v>227871</v>
          </cell>
          <cell r="I153">
            <v>1</v>
          </cell>
          <cell r="J153">
            <v>227871</v>
          </cell>
        </row>
        <row r="154">
          <cell r="B154" t="str">
            <v>ООС-0104-000462</v>
          </cell>
          <cell r="C154" t="str">
            <v>Телеф.Panasonic KT-ST15</v>
          </cell>
          <cell r="D154">
            <v>37165</v>
          </cell>
          <cell r="E154">
            <v>0</v>
          </cell>
          <cell r="F154">
            <v>1</v>
          </cell>
          <cell r="G154" t="str">
            <v xml:space="preserve">Телефон Panasonic KX-TCD512RU </v>
          </cell>
          <cell r="H154">
            <v>5096</v>
          </cell>
          <cell r="I154">
            <v>1</v>
          </cell>
          <cell r="J154">
            <v>5096</v>
          </cell>
        </row>
        <row r="155">
          <cell r="B155" t="str">
            <v>ООС-0104-000548</v>
          </cell>
          <cell r="C155" t="str">
            <v>Сетевое обор.Cabletron</v>
          </cell>
          <cell r="D155">
            <v>37316</v>
          </cell>
          <cell r="E155">
            <v>97177.73</v>
          </cell>
          <cell r="F155">
            <v>1</v>
          </cell>
          <cell r="G155" t="str">
            <v xml:space="preserve">SWITCH 24 ports CABLETRON VH2402SM / 10/100 / + mgm modyle </v>
          </cell>
          <cell r="H155">
            <v>32898</v>
          </cell>
          <cell r="I155">
            <v>1</v>
          </cell>
          <cell r="J155">
            <v>32898</v>
          </cell>
        </row>
        <row r="156">
          <cell r="B156" t="str">
            <v>ООС-0104-000561</v>
          </cell>
          <cell r="C156" t="str">
            <v>Сис. Блок VL420</v>
          </cell>
          <cell r="D156">
            <v>37316</v>
          </cell>
          <cell r="E156">
            <v>11491.04</v>
          </cell>
          <cell r="F156">
            <v>1</v>
          </cell>
          <cell r="G156" t="str">
            <v>Pentium 4/1700 MHz/256 Mb/40000 Mb/SVGA Hewlett-Packard Vectra VL420 MT P4-1.7 40GB 256MB i845 NVidiaGF2 32MB DVD (P5768A</v>
          </cell>
          <cell r="H156">
            <v>25374</v>
          </cell>
          <cell r="I156">
            <v>1</v>
          </cell>
          <cell r="J156">
            <v>25374</v>
          </cell>
        </row>
        <row r="157">
          <cell r="B157" t="str">
            <v>ООС-0104-000562</v>
          </cell>
          <cell r="C157" t="str">
            <v>Сис. Блок VL420</v>
          </cell>
          <cell r="D157">
            <v>37316</v>
          </cell>
          <cell r="E157">
            <v>11491.04</v>
          </cell>
          <cell r="F157">
            <v>1</v>
          </cell>
          <cell r="G157" t="str">
            <v>Pentium 4/1700 MHz/256 Mb/40000 Mb/SVGA Hewlett-Packard Vectra VL420 MT P4-1.7 40GB 256MB i845 NVidiaGF2 32MB DVD (P5768A</v>
          </cell>
          <cell r="H157">
            <v>25374</v>
          </cell>
          <cell r="I157">
            <v>1</v>
          </cell>
          <cell r="J157">
            <v>25374</v>
          </cell>
        </row>
        <row r="158">
          <cell r="B158" t="str">
            <v>ООС-0104-000564</v>
          </cell>
          <cell r="C158" t="str">
            <v>Сис. Блок VL420</v>
          </cell>
          <cell r="D158">
            <v>37316</v>
          </cell>
          <cell r="E158">
            <v>11491.04</v>
          </cell>
          <cell r="F158">
            <v>1</v>
          </cell>
          <cell r="G158" t="str">
            <v>Pentium 4/1700 MHz/256 Mb/40000 Mb/SVGA Hewlett-Packard Vectra VL420 MT P4-1.7 40GB 256MB i845 NVidiaGF2 32MB DVD (P5768A</v>
          </cell>
          <cell r="H158">
            <v>25374</v>
          </cell>
          <cell r="I158">
            <v>1</v>
          </cell>
          <cell r="J158">
            <v>25374</v>
          </cell>
        </row>
        <row r="159">
          <cell r="B159" t="str">
            <v>ООС-0104-000610</v>
          </cell>
          <cell r="C159" t="str">
            <v>Принтер HPLJ2200</v>
          </cell>
          <cell r="D159">
            <v>37622</v>
          </cell>
          <cell r="E159">
            <v>13221.12</v>
          </cell>
          <cell r="F159">
            <v>1</v>
          </cell>
          <cell r="G159" t="str">
            <v>Принтер лазерный LaserJet 2200DN A4</v>
          </cell>
          <cell r="H159">
            <v>25928</v>
          </cell>
          <cell r="I159">
            <v>1</v>
          </cell>
          <cell r="J159">
            <v>25928</v>
          </cell>
        </row>
        <row r="160">
          <cell r="B160" t="str">
            <v>ООС-0104-000730</v>
          </cell>
          <cell r="C160" t="str">
            <v xml:space="preserve">Сервер Москва </v>
          </cell>
          <cell r="D160">
            <v>37622</v>
          </cell>
          <cell r="E160">
            <v>584452.55000000005</v>
          </cell>
          <cell r="F160">
            <v>1</v>
          </cell>
          <cell r="G160" t="str">
            <v>HP NetServer LH6000R PIIIX-900 2MB HDD 20Gb U3 (Up to 6 CPU/256MB/no HDD/Raid/HS/CD/FastEth)</v>
          </cell>
          <cell r="H160">
            <v>227871</v>
          </cell>
          <cell r="I160">
            <v>1</v>
          </cell>
          <cell r="J160">
            <v>227871</v>
          </cell>
        </row>
        <row r="161">
          <cell r="B161" t="str">
            <v>ООС-0104-000732</v>
          </cell>
          <cell r="C161" t="str">
            <v>Сис. Блок VI410</v>
          </cell>
          <cell r="D161">
            <v>37622</v>
          </cell>
          <cell r="E161">
            <v>11605.71</v>
          </cell>
          <cell r="F161">
            <v>1</v>
          </cell>
          <cell r="G161" t="str">
            <v>Pentium 4/1600 MHz/256 Mb/20000 Mb/SVGA Hewlett-Packard HP Vectra VL410 DT P4-1.6GHz 256M20G CDLAN W98 (P5974A</v>
          </cell>
          <cell r="H161">
            <v>19894</v>
          </cell>
          <cell r="I161">
            <v>1</v>
          </cell>
          <cell r="J161">
            <v>19894</v>
          </cell>
        </row>
        <row r="162">
          <cell r="B162" t="str">
            <v>ООС-0104-000764</v>
          </cell>
          <cell r="C162" t="str">
            <v>Копп. Апп. MB9408</v>
          </cell>
          <cell r="D162">
            <v>37656</v>
          </cell>
          <cell r="E162">
            <v>11935.14</v>
          </cell>
          <cell r="F162">
            <v>1</v>
          </cell>
          <cell r="G162" t="str">
            <v xml:space="preserve">Копир. аппарат MB-8115, цифровой </v>
          </cell>
          <cell r="H162">
            <v>36864</v>
          </cell>
          <cell r="I162">
            <v>1</v>
          </cell>
          <cell r="J162">
            <v>36864</v>
          </cell>
        </row>
        <row r="163">
          <cell r="B163" t="str">
            <v>ООС-0104-000777</v>
          </cell>
          <cell r="C163" t="str">
            <v>Сис. Блок+монитор VL400</v>
          </cell>
          <cell r="D163">
            <v>37681</v>
          </cell>
          <cell r="E163">
            <v>15833.01</v>
          </cell>
          <cell r="F163">
            <v>1</v>
          </cell>
          <cell r="G163" t="str">
            <v xml:space="preserve">Celeron/900 MHz/64 Mb/20000 Mb/SVGA Hewlett-Packard ПК HP Vectra VL400, Cel 900MHz, 64MB PC133 SDRAM, 20GB, AGP и ViewSonic VP 140 TCO'99 </v>
          </cell>
          <cell r="H163">
            <v>17190</v>
          </cell>
          <cell r="I163">
            <v>1</v>
          </cell>
          <cell r="J163">
            <v>17190</v>
          </cell>
        </row>
        <row r="164">
          <cell r="B164" t="str">
            <v>ООС-0104-000778</v>
          </cell>
          <cell r="C164" t="str">
            <v>Сис. Блок Vei7</v>
          </cell>
          <cell r="D164">
            <v>37681</v>
          </cell>
          <cell r="E164">
            <v>19331.580000000002</v>
          </cell>
          <cell r="F164">
            <v>1</v>
          </cell>
          <cell r="G164" t="str">
            <v xml:space="preserve">HP Vectra VEi7 DT C466-32M4.3G/S95      HPD8126A </v>
          </cell>
          <cell r="H164">
            <v>16955</v>
          </cell>
          <cell r="I164">
            <v>1</v>
          </cell>
          <cell r="J164">
            <v>16955</v>
          </cell>
        </row>
        <row r="165">
          <cell r="B165" t="str">
            <v>ООС-0104-000779</v>
          </cell>
          <cell r="C165" t="str">
            <v>Сис. Блок+монитор VL400</v>
          </cell>
          <cell r="D165">
            <v>37681</v>
          </cell>
          <cell r="E165">
            <v>19331.439999999999</v>
          </cell>
          <cell r="F165">
            <v>1</v>
          </cell>
          <cell r="G165" t="str">
            <v xml:space="preserve">Celeron/900 MHz/64 Mb/20000 Mb/SVGA Hewlett-Packard ПК HP Vectra VL400, Cel 900MHz, 64MB PC133 SDRAM, 20GB, AGP и ViewSonic VP 140 TCO'99 </v>
          </cell>
          <cell r="H165">
            <v>17190</v>
          </cell>
          <cell r="I165">
            <v>1</v>
          </cell>
          <cell r="J165">
            <v>17190</v>
          </cell>
        </row>
        <row r="166">
          <cell r="B166" t="str">
            <v>ООС-0104-000792</v>
          </cell>
          <cell r="C166" t="str">
            <v>Сервер HP LH2</v>
          </cell>
          <cell r="D166">
            <v>37712</v>
          </cell>
          <cell r="E166">
            <v>173481.85</v>
          </cell>
          <cell r="F166">
            <v>2</v>
          </cell>
          <cell r="G166" t="str">
            <v xml:space="preserve">Сервер HP NetServer LH3000r PIII/1000 M1 U3-SCSI </v>
          </cell>
          <cell r="H166">
            <v>106780</v>
          </cell>
          <cell r="I166">
            <v>1</v>
          </cell>
          <cell r="J166">
            <v>213560</v>
          </cell>
        </row>
        <row r="167">
          <cell r="B167" t="str">
            <v>ООС-0104-000937</v>
          </cell>
          <cell r="C167" t="str">
            <v>Факс Panasonic FL503</v>
          </cell>
          <cell r="D167">
            <v>37949</v>
          </cell>
          <cell r="E167">
            <v>8057.26</v>
          </cell>
          <cell r="F167">
            <v>1</v>
          </cell>
          <cell r="G167" t="str">
            <v xml:space="preserve">Факс Panasonic KX-FL503RU </v>
          </cell>
          <cell r="H167">
            <v>8729</v>
          </cell>
          <cell r="I167">
            <v>1</v>
          </cell>
          <cell r="J167">
            <v>8729</v>
          </cell>
        </row>
        <row r="168">
          <cell r="B168" t="str">
            <v>ООС-0104-000939</v>
          </cell>
          <cell r="C168" t="str">
            <v>Ноутбук satell SA20-S203</v>
          </cell>
          <cell r="D168">
            <v>37972</v>
          </cell>
          <cell r="E168">
            <v>58748.84</v>
          </cell>
          <cell r="F168">
            <v>1</v>
          </cell>
          <cell r="G168" t="str">
            <v xml:space="preserve">Satellite A30-213 </v>
          </cell>
          <cell r="H168">
            <v>41129</v>
          </cell>
          <cell r="I168">
            <v>1</v>
          </cell>
          <cell r="J168">
            <v>41129</v>
          </cell>
        </row>
        <row r="169">
          <cell r="B169" t="str">
            <v>ООС-0104-000940</v>
          </cell>
          <cell r="C169" t="str">
            <v>Ноутбук Satell SA10-S703</v>
          </cell>
          <cell r="D169">
            <v>37980</v>
          </cell>
          <cell r="E169">
            <v>35379.93</v>
          </cell>
          <cell r="F169">
            <v>1</v>
          </cell>
          <cell r="G169" t="str">
            <v>Ноутбук TOSHIBA SATELLITE SA10-S703</v>
          </cell>
          <cell r="H169">
            <v>54059</v>
          </cell>
          <cell r="I169">
            <v>1</v>
          </cell>
          <cell r="J169">
            <v>54059</v>
          </cell>
        </row>
        <row r="170">
          <cell r="B170" t="str">
            <v>ООС-0104-000941</v>
          </cell>
          <cell r="C170" t="str">
            <v>Ноутбук Satell SA30-213</v>
          </cell>
          <cell r="D170">
            <v>37980</v>
          </cell>
          <cell r="E170">
            <v>37049.57</v>
          </cell>
          <cell r="F170">
            <v>1</v>
          </cell>
          <cell r="G170" t="str">
            <v xml:space="preserve">Satellite A30-213 </v>
          </cell>
          <cell r="H170">
            <v>41129</v>
          </cell>
          <cell r="I170">
            <v>1</v>
          </cell>
          <cell r="J170">
            <v>41129</v>
          </cell>
        </row>
        <row r="171">
          <cell r="B171" t="str">
            <v>ООС-0104-000967</v>
          </cell>
          <cell r="C171" t="str">
            <v>Сис. Блок HP E-PC</v>
          </cell>
          <cell r="D171">
            <v>38034</v>
          </cell>
          <cell r="E171">
            <v>16793.12</v>
          </cell>
          <cell r="F171">
            <v>1</v>
          </cell>
          <cell r="G171" t="str">
            <v xml:space="preserve">HP Vectra VEi7 DT C466-32M4.3G/S95      HPD8126A </v>
          </cell>
          <cell r="H171">
            <v>16955</v>
          </cell>
          <cell r="I171">
            <v>1</v>
          </cell>
          <cell r="J171">
            <v>16955</v>
          </cell>
        </row>
        <row r="172">
          <cell r="B172" t="str">
            <v>ООС-0104-000968</v>
          </cell>
          <cell r="C172" t="str">
            <v>Сис. Блок Vei8</v>
          </cell>
          <cell r="D172">
            <v>38034</v>
          </cell>
          <cell r="E172">
            <v>16793.12</v>
          </cell>
          <cell r="F172">
            <v>1</v>
          </cell>
          <cell r="G172" t="str">
            <v xml:space="preserve">DT P450-64Mb/4.3Gb/MATROX G200 AGP 8mB/3Com Lan      HPD8172N </v>
          </cell>
          <cell r="H172">
            <v>24009</v>
          </cell>
          <cell r="I172">
            <v>1</v>
          </cell>
          <cell r="J172">
            <v>24009</v>
          </cell>
        </row>
        <row r="173">
          <cell r="B173" t="str">
            <v>ООС-0104-000977</v>
          </cell>
          <cell r="C173" t="str">
            <v>Ноутбук satell Pro4340</v>
          </cell>
          <cell r="D173">
            <v>38076</v>
          </cell>
          <cell r="E173">
            <v>28212.2</v>
          </cell>
          <cell r="F173">
            <v>1</v>
          </cell>
          <cell r="G173" t="str">
            <v xml:space="preserve">Toshiba Satellite Pro 4600 </v>
          </cell>
          <cell r="H173">
            <v>14746</v>
          </cell>
          <cell r="I173">
            <v>1</v>
          </cell>
          <cell r="J173">
            <v>14746</v>
          </cell>
        </row>
        <row r="174">
          <cell r="B174" t="str">
            <v>ООС-0104-000978</v>
          </cell>
          <cell r="C174" t="str">
            <v>Ноутбук Satell Pro440CDX</v>
          </cell>
          <cell r="D174">
            <v>38076</v>
          </cell>
          <cell r="E174">
            <v>28212.2</v>
          </cell>
          <cell r="F174">
            <v>1</v>
          </cell>
          <cell r="G174" t="str">
            <v xml:space="preserve">Toshiba Satellite Pro 4600 </v>
          </cell>
          <cell r="H174">
            <v>14746</v>
          </cell>
          <cell r="I174">
            <v>1</v>
          </cell>
          <cell r="J174">
            <v>14746</v>
          </cell>
        </row>
        <row r="175">
          <cell r="B175" t="str">
            <v>ООС-0104-000979</v>
          </cell>
          <cell r="C175" t="str">
            <v>Ноутбук Satell Pro 4600</v>
          </cell>
          <cell r="D175">
            <v>38076</v>
          </cell>
          <cell r="E175">
            <v>28212.2</v>
          </cell>
          <cell r="F175">
            <v>1</v>
          </cell>
          <cell r="G175" t="str">
            <v xml:space="preserve">Toshiba Satellite Pro 4600 </v>
          </cell>
          <cell r="H175">
            <v>14746</v>
          </cell>
          <cell r="I175">
            <v>1</v>
          </cell>
          <cell r="J175">
            <v>14746</v>
          </cell>
        </row>
        <row r="176">
          <cell r="B176" t="str">
            <v>ООС-0104-000980</v>
          </cell>
          <cell r="C176" t="str">
            <v>Ноутбук Satell S5100-501</v>
          </cell>
          <cell r="D176">
            <v>38076</v>
          </cell>
          <cell r="E176">
            <v>28212.2</v>
          </cell>
          <cell r="F176">
            <v>1</v>
          </cell>
          <cell r="G176" t="str">
            <v>Ноутбук Satelite 5205-S505 PS520U-31P1RV</v>
          </cell>
          <cell r="H176">
            <v>32452</v>
          </cell>
          <cell r="I176">
            <v>1</v>
          </cell>
          <cell r="J176">
            <v>32452</v>
          </cell>
        </row>
        <row r="177">
          <cell r="B177" t="str">
            <v>ООС-0104-000997</v>
          </cell>
          <cell r="C177" t="str">
            <v>Сетевое обор. Cisco2950</v>
          </cell>
          <cell r="D177">
            <v>38077</v>
          </cell>
          <cell r="E177">
            <v>15608.41</v>
          </cell>
          <cell r="F177">
            <v>1</v>
          </cell>
          <cell r="G177" t="str">
            <v xml:space="preserve">Catalyst 2950, 48 10/100 with 2 GBIC slots, Enhanced Image </v>
          </cell>
          <cell r="H177">
            <v>92864</v>
          </cell>
          <cell r="I177">
            <v>1</v>
          </cell>
          <cell r="J177">
            <v>92864</v>
          </cell>
        </row>
        <row r="178">
          <cell r="B178" t="str">
            <v>ООС-0104-000999</v>
          </cell>
          <cell r="C178" t="str">
            <v>Сетевое обор. Cisco2620</v>
          </cell>
          <cell r="D178">
            <v>38077</v>
          </cell>
          <cell r="E178">
            <v>38178.71</v>
          </cell>
          <cell r="F178">
            <v>1</v>
          </cell>
          <cell r="G178" t="str">
            <v>Cisco 2620 10/100 Ethernet Router w/2 WIC Slots &amp; 1 Network Module Slot (Service 5)</v>
          </cell>
          <cell r="H178">
            <v>53428</v>
          </cell>
          <cell r="I178">
            <v>1</v>
          </cell>
          <cell r="J178">
            <v>53428</v>
          </cell>
        </row>
        <row r="179">
          <cell r="B179" t="str">
            <v>ООС-0104-001000</v>
          </cell>
          <cell r="C179" t="str">
            <v>сис. Блок HP D330</v>
          </cell>
          <cell r="D179">
            <v>38092</v>
          </cell>
          <cell r="E179">
            <v>19228.89</v>
          </cell>
          <cell r="F179">
            <v>1</v>
          </cell>
          <cell r="G179" t="str">
            <v xml:space="preserve">FSC SCENIC E300 Cel D330 </v>
          </cell>
          <cell r="H179">
            <v>12534</v>
          </cell>
          <cell r="I179">
            <v>1</v>
          </cell>
          <cell r="J179">
            <v>12534</v>
          </cell>
        </row>
        <row r="180">
          <cell r="B180" t="str">
            <v>ООС-0104-001001</v>
          </cell>
          <cell r="C180" t="str">
            <v>сис. Блок HP D330</v>
          </cell>
          <cell r="D180">
            <v>38092</v>
          </cell>
          <cell r="E180">
            <v>19228.89</v>
          </cell>
          <cell r="F180">
            <v>1</v>
          </cell>
          <cell r="G180" t="str">
            <v xml:space="preserve">FSC SCENIC E300 Cel D330 </v>
          </cell>
          <cell r="H180">
            <v>12534</v>
          </cell>
          <cell r="I180">
            <v>1</v>
          </cell>
          <cell r="J180">
            <v>12534</v>
          </cell>
        </row>
        <row r="181">
          <cell r="B181" t="str">
            <v>ООС-0104-001002</v>
          </cell>
          <cell r="C181" t="str">
            <v>Процессор WS MI5i</v>
          </cell>
          <cell r="D181">
            <v>38103</v>
          </cell>
          <cell r="E181">
            <v>17797.68</v>
          </cell>
          <cell r="F181">
            <v>4</v>
          </cell>
          <cell r="G181" t="str">
            <v>CPU Xeon DP 3066MHz / 512KB / 533 MHz (for iWC2, iWS2, iHH2)</v>
          </cell>
          <cell r="H181">
            <v>16931</v>
          </cell>
          <cell r="I181">
            <v>1</v>
          </cell>
          <cell r="J181">
            <v>67724</v>
          </cell>
        </row>
        <row r="182">
          <cell r="B182" t="str">
            <v>ООС-0104-001009</v>
          </cell>
          <cell r="C182" t="str">
            <v>Сетевое обор. Cisko2620V</v>
          </cell>
          <cell r="D182">
            <v>38108</v>
          </cell>
          <cell r="E182">
            <v>31148.23</v>
          </cell>
          <cell r="F182">
            <v>1</v>
          </cell>
          <cell r="G182" t="str">
            <v>Cisco 2620 10/100 Ethernet Router w/2 WIC Slots &amp; 1 Network Module Slot (Service 5)</v>
          </cell>
          <cell r="H182">
            <v>53428</v>
          </cell>
          <cell r="I182">
            <v>1</v>
          </cell>
          <cell r="J182">
            <v>53428</v>
          </cell>
        </row>
        <row r="183">
          <cell r="B183" t="str">
            <v>ООС-0104-001022</v>
          </cell>
          <cell r="C183" t="str">
            <v>Сервер  HPDL380R03</v>
          </cell>
          <cell r="D183">
            <v>38223</v>
          </cell>
          <cell r="E183">
            <v>85484.86</v>
          </cell>
          <cell r="F183">
            <v>1</v>
          </cell>
          <cell r="G183" t="str">
            <v xml:space="preserve">Сервер 352529-421 ProLiant DL380R03 X3.2GHz/533 2Mb </v>
          </cell>
          <cell r="H183">
            <v>85974</v>
          </cell>
          <cell r="I183">
            <v>1</v>
          </cell>
          <cell r="J183">
            <v>85974</v>
          </cell>
        </row>
        <row r="184">
          <cell r="B184" t="str">
            <v>ООС-0104-001023</v>
          </cell>
          <cell r="C184" t="str">
            <v>Сервер HPDL380R03</v>
          </cell>
          <cell r="D184">
            <v>38223</v>
          </cell>
          <cell r="E184">
            <v>85484.86</v>
          </cell>
          <cell r="F184">
            <v>1</v>
          </cell>
          <cell r="G184" t="str">
            <v xml:space="preserve">Сервер 352529-421 ProLiant DL380R03 X3.2GHz/533 2Mb </v>
          </cell>
          <cell r="H184">
            <v>85974</v>
          </cell>
          <cell r="I184">
            <v>1</v>
          </cell>
          <cell r="J184">
            <v>85974</v>
          </cell>
        </row>
        <row r="185">
          <cell r="B185" t="str">
            <v>ООС-0104-001024</v>
          </cell>
          <cell r="C185" t="str">
            <v>Модуль памяти 1GB</v>
          </cell>
          <cell r="D185">
            <v>38223</v>
          </cell>
          <cell r="E185">
            <v>16109.88</v>
          </cell>
          <cell r="F185">
            <v>1</v>
          </cell>
          <cell r="G185" t="str">
            <v xml:space="preserve">Модуль памяти 1Gb компакт-флеш Kingston, 12х </v>
          </cell>
          <cell r="H185">
            <v>16297</v>
          </cell>
          <cell r="I185">
            <v>1</v>
          </cell>
          <cell r="J185">
            <v>16297</v>
          </cell>
        </row>
        <row r="186">
          <cell r="B186" t="str">
            <v>ООС-0104-001026</v>
          </cell>
          <cell r="C186" t="str">
            <v>Стриммер Hpдля серверов</v>
          </cell>
          <cell r="D186">
            <v>38223</v>
          </cell>
          <cell r="E186">
            <v>33348.080000000002</v>
          </cell>
          <cell r="F186">
            <v>1</v>
          </cell>
          <cell r="G186" t="str">
            <v>Стриммер StorageWorks Dat 20/40 внутренний SCSI черный для серверов ProLiant</v>
          </cell>
          <cell r="H186">
            <v>26186</v>
          </cell>
          <cell r="I186">
            <v>1</v>
          </cell>
          <cell r="J186">
            <v>26186</v>
          </cell>
        </row>
        <row r="187">
          <cell r="B187" t="str">
            <v>ООС-0104-001027</v>
          </cell>
          <cell r="C187" t="str">
            <v>Монитор VP171s17</v>
          </cell>
          <cell r="D187">
            <v>38223</v>
          </cell>
          <cell r="E187">
            <v>32607.01</v>
          </cell>
          <cell r="F187">
            <v>1</v>
          </cell>
          <cell r="G187" t="str">
            <v>Монитор ViewSonic TFT VP171S 17" DVI</v>
          </cell>
          <cell r="H187">
            <v>11231</v>
          </cell>
          <cell r="I187">
            <v>1</v>
          </cell>
          <cell r="J187">
            <v>11231</v>
          </cell>
        </row>
        <row r="188">
          <cell r="B188" t="str">
            <v>ООС-0104-001028</v>
          </cell>
          <cell r="C188" t="str">
            <v>Монитор VP171s17</v>
          </cell>
          <cell r="D188">
            <v>38223</v>
          </cell>
          <cell r="E188">
            <v>32607.01</v>
          </cell>
          <cell r="F188">
            <v>1</v>
          </cell>
          <cell r="G188" t="str">
            <v>Монитор ViewSonic TFT VP171S 17" DVI</v>
          </cell>
          <cell r="H188">
            <v>11231</v>
          </cell>
          <cell r="I188">
            <v>1</v>
          </cell>
          <cell r="J188">
            <v>11231</v>
          </cell>
        </row>
        <row r="189">
          <cell r="B189" t="str">
            <v>ООС-0104-001029</v>
          </cell>
          <cell r="C189" t="str">
            <v>Монитор VP171s17</v>
          </cell>
          <cell r="D189">
            <v>38223</v>
          </cell>
          <cell r="E189">
            <v>32607.01</v>
          </cell>
          <cell r="F189">
            <v>1</v>
          </cell>
          <cell r="G189" t="str">
            <v>Монитор ViewSonic TFT VP171S 17" DVI</v>
          </cell>
          <cell r="H189">
            <v>11231</v>
          </cell>
          <cell r="I189">
            <v>1</v>
          </cell>
          <cell r="J189">
            <v>11231</v>
          </cell>
        </row>
        <row r="190">
          <cell r="B190" t="str">
            <v>ООС-0104-001039</v>
          </cell>
          <cell r="C190" t="str">
            <v>Кондиционер WSA 073BE</v>
          </cell>
          <cell r="D190">
            <v>38223</v>
          </cell>
          <cell r="E190">
            <v>14754.09</v>
          </cell>
          <cell r="F190">
            <v>1</v>
          </cell>
          <cell r="G190" t="str">
            <v xml:space="preserve">Hyundai WSA-073BE </v>
          </cell>
          <cell r="H190">
            <v>15756</v>
          </cell>
          <cell r="I190">
            <v>1</v>
          </cell>
          <cell r="J190">
            <v>15756</v>
          </cell>
        </row>
        <row r="191">
          <cell r="B191" t="str">
            <v>ООС-0104-000704</v>
          </cell>
          <cell r="C191" t="str">
            <v>Ноутбук  Satell 5005-S504</v>
          </cell>
          <cell r="D191">
            <v>37622</v>
          </cell>
          <cell r="E191">
            <v>51082.04</v>
          </cell>
          <cell r="F191">
            <v>1</v>
          </cell>
          <cell r="G191" t="str">
            <v xml:space="preserve">Ноутбук Satelite 5205-S705 PS522U-XK00QR </v>
          </cell>
          <cell r="H191">
            <v>44681</v>
          </cell>
          <cell r="I191">
            <v>1</v>
          </cell>
          <cell r="J191">
            <v>44681</v>
          </cell>
        </row>
        <row r="192">
          <cell r="B192" t="str">
            <v>ООС-0104-000708</v>
          </cell>
          <cell r="C192" t="str">
            <v>Сис. Блок VI420</v>
          </cell>
          <cell r="D192">
            <v>37622</v>
          </cell>
          <cell r="E192">
            <v>15184.59</v>
          </cell>
          <cell r="F192">
            <v>1</v>
          </cell>
          <cell r="G192" t="str">
            <v>Pentium 4/1700 MHz/256 Mb/40000 Mb/SVGA Hewlett-Packard Vectra VL420 MT P4-1.7 40GB 256MB i845 NVidiaGF2 32MB DVD (P5768A</v>
          </cell>
          <cell r="H192">
            <v>25374</v>
          </cell>
          <cell r="I192">
            <v>1</v>
          </cell>
          <cell r="J192">
            <v>25374</v>
          </cell>
        </row>
        <row r="193">
          <cell r="B193" t="str">
            <v>ООС-0104-001040</v>
          </cell>
          <cell r="C193" t="str">
            <v>Сис. Блок P4-2.4/512/40GB</v>
          </cell>
          <cell r="D193">
            <v>38254</v>
          </cell>
          <cell r="E193">
            <v>11190.49</v>
          </cell>
          <cell r="F193">
            <v>1</v>
          </cell>
          <cell r="G193" t="str">
            <v>Pentium 4/1700 MHz/256 Mb/40000 Mb/SVGA Hewlett-Packard Vectra VL420 MT P4-1.7 40GB 256MB i845 NVidiaGF2 32MB DVD (P5768A</v>
          </cell>
          <cell r="H193">
            <v>25374</v>
          </cell>
          <cell r="I193">
            <v>1</v>
          </cell>
          <cell r="J193">
            <v>25374</v>
          </cell>
        </row>
        <row r="194">
          <cell r="B194" t="str">
            <v>ООС-0105-000371</v>
          </cell>
          <cell r="C194" t="str">
            <v>Шкаф А722К000</v>
          </cell>
          <cell r="D194">
            <v>36922</v>
          </cell>
          <cell r="E194">
            <v>0</v>
          </cell>
          <cell r="F194">
            <v>1</v>
          </cell>
          <cell r="G194" t="str">
            <v xml:space="preserve">Шкаф BISLEY (Великобритания), А-722, 1649х457х914 мм </v>
          </cell>
          <cell r="H194">
            <v>10305</v>
          </cell>
          <cell r="I194">
            <v>1</v>
          </cell>
          <cell r="J194">
            <v>10305</v>
          </cell>
        </row>
        <row r="195">
          <cell r="B195" t="str">
            <v>ООС-0105-000372</v>
          </cell>
          <cell r="C195" t="str">
            <v>Шкаф А722К000</v>
          </cell>
          <cell r="D195">
            <v>36922</v>
          </cell>
          <cell r="E195">
            <v>0</v>
          </cell>
          <cell r="F195">
            <v>1</v>
          </cell>
          <cell r="G195" t="str">
            <v xml:space="preserve">Шкаф BISLEY (Великобритания), А-722, 1649х457х914 мм </v>
          </cell>
          <cell r="H195">
            <v>10305</v>
          </cell>
          <cell r="I195">
            <v>1</v>
          </cell>
          <cell r="J195">
            <v>10305</v>
          </cell>
        </row>
        <row r="196">
          <cell r="B196" t="str">
            <v>ООС-0105-000373</v>
          </cell>
          <cell r="C196" t="str">
            <v>Шкаф А722К000</v>
          </cell>
          <cell r="D196">
            <v>36922</v>
          </cell>
          <cell r="E196">
            <v>0</v>
          </cell>
          <cell r="F196">
            <v>1</v>
          </cell>
          <cell r="G196" t="str">
            <v xml:space="preserve">Шкаф BISLEY (Великобритания), А-722, 1649х457х914 мм </v>
          </cell>
          <cell r="H196">
            <v>10305</v>
          </cell>
          <cell r="I196">
            <v>1</v>
          </cell>
          <cell r="J196">
            <v>10305</v>
          </cell>
        </row>
        <row r="197">
          <cell r="B197" t="str">
            <v>ООС-0105-000374</v>
          </cell>
          <cell r="C197" t="str">
            <v>Шкаф А722К000</v>
          </cell>
          <cell r="D197">
            <v>36922</v>
          </cell>
          <cell r="E197">
            <v>0</v>
          </cell>
          <cell r="F197">
            <v>1</v>
          </cell>
          <cell r="G197" t="str">
            <v xml:space="preserve">Шкаф BISLEY (Великобритания), А-722, 1649х457х914 мм </v>
          </cell>
          <cell r="H197">
            <v>10305</v>
          </cell>
          <cell r="I197">
            <v>1</v>
          </cell>
          <cell r="J197">
            <v>10305</v>
          </cell>
        </row>
        <row r="198">
          <cell r="B198" t="str">
            <v>ООС-0105-000426</v>
          </cell>
          <cell r="C198" t="str">
            <v>Сейф Айко 702</v>
          </cell>
          <cell r="D198">
            <v>36983</v>
          </cell>
          <cell r="E198">
            <v>35537.46</v>
          </cell>
          <cell r="F198">
            <v>1</v>
          </cell>
          <cell r="G198" t="str">
            <v xml:space="preserve">Сейф AIKO 702.EL </v>
          </cell>
          <cell r="H198">
            <v>21409</v>
          </cell>
          <cell r="I198">
            <v>1</v>
          </cell>
          <cell r="J198">
            <v>21409</v>
          </cell>
        </row>
        <row r="199">
          <cell r="B199" t="str">
            <v>ООС-0104-000104</v>
          </cell>
          <cell r="C199" t="str">
            <v>Сис. Блок Vei8</v>
          </cell>
          <cell r="D199">
            <v>36370</v>
          </cell>
          <cell r="E199">
            <v>1588.76</v>
          </cell>
          <cell r="F199">
            <v>1</v>
          </cell>
          <cell r="G199" t="str">
            <v xml:space="preserve">DT P450-64Mb/4.3Gb/MATROX G200 AGP 8mB/3Com Lan      HPD8172N </v>
          </cell>
          <cell r="H199">
            <v>24009</v>
          </cell>
          <cell r="I199">
            <v>1</v>
          </cell>
          <cell r="J199">
            <v>24009</v>
          </cell>
        </row>
        <row r="200">
          <cell r="B200" t="str">
            <v>ООС-0104-000158</v>
          </cell>
          <cell r="C200" t="str">
            <v>Рольставни А-55 ,1.875</v>
          </cell>
          <cell r="D200">
            <v>36515</v>
          </cell>
          <cell r="E200">
            <v>13422.44</v>
          </cell>
          <cell r="F200">
            <v>1</v>
          </cell>
          <cell r="G200" t="str">
            <v>Рольставни ARZ-E (электрические)</v>
          </cell>
          <cell r="H200">
            <v>9853</v>
          </cell>
          <cell r="I200">
            <v>1</v>
          </cell>
          <cell r="J200">
            <v>9853</v>
          </cell>
        </row>
        <row r="201">
          <cell r="B201" t="str">
            <v>ООС-0104-000159</v>
          </cell>
          <cell r="C201" t="str">
            <v>Рольставни А-55 ,1.930</v>
          </cell>
          <cell r="D201">
            <v>36515</v>
          </cell>
          <cell r="E201">
            <v>17610.71</v>
          </cell>
          <cell r="F201">
            <v>1</v>
          </cell>
          <cell r="G201" t="str">
            <v>Рольставни ARZ-E (электрические)</v>
          </cell>
          <cell r="H201">
            <v>9853</v>
          </cell>
          <cell r="I201">
            <v>1</v>
          </cell>
          <cell r="J201">
            <v>9853</v>
          </cell>
        </row>
        <row r="202">
          <cell r="B202" t="str">
            <v>ООС-0104-000163</v>
          </cell>
          <cell r="C202" t="str">
            <v>Сис. Блок vei8</v>
          </cell>
          <cell r="D202">
            <v>36518</v>
          </cell>
          <cell r="E202">
            <v>2056.9299999999998</v>
          </cell>
          <cell r="F202">
            <v>1</v>
          </cell>
          <cell r="G202" t="str">
            <v xml:space="preserve">DT P450-64Mb/4.3Gb/MATROX G200 AGP 8mB/3Com Lan      HPD8172N </v>
          </cell>
          <cell r="H202">
            <v>24009</v>
          </cell>
          <cell r="I202">
            <v>1</v>
          </cell>
          <cell r="J202">
            <v>24009</v>
          </cell>
        </row>
        <row r="203">
          <cell r="B203" t="str">
            <v>ООС-0104-000164</v>
          </cell>
          <cell r="C203" t="str">
            <v>Сис. Блок Vei7</v>
          </cell>
          <cell r="D203">
            <v>36518</v>
          </cell>
          <cell r="E203">
            <v>2056.9299999999998</v>
          </cell>
          <cell r="F203">
            <v>1</v>
          </cell>
          <cell r="G203" t="str">
            <v xml:space="preserve">HP Vectra VEi7 DT C466-32M4.3G/S95      HPD8126A </v>
          </cell>
          <cell r="H203">
            <v>16955</v>
          </cell>
          <cell r="I203">
            <v>1</v>
          </cell>
          <cell r="J203">
            <v>16955</v>
          </cell>
        </row>
        <row r="204">
          <cell r="B204" t="str">
            <v>ООС-0104-000200</v>
          </cell>
          <cell r="C204" t="str">
            <v>Сис. Блок+монитор HPBas</v>
          </cell>
          <cell r="D204">
            <v>36622</v>
          </cell>
          <cell r="E204">
            <v>4664.2299999999996</v>
          </cell>
          <cell r="F204">
            <v>1</v>
          </cell>
          <cell r="G204" t="str">
            <v xml:space="preserve">Celeron/900 MHz/64 Mb/20000 Mb/SVGA Hewlett-Packard ПК HP Vectra VL400, Cel 900MHz, 64MB PC133 SDRAM, 20GB, AGP и Монитор 15'' ViewSonic E651 </v>
          </cell>
          <cell r="H204">
            <v>15097</v>
          </cell>
          <cell r="I204">
            <v>1</v>
          </cell>
          <cell r="J204">
            <v>15097</v>
          </cell>
        </row>
        <row r="205">
          <cell r="B205" t="str">
            <v>ООС-0104-000201</v>
          </cell>
          <cell r="C205" t="str">
            <v>Сис. Блок+мон.HPVSG655</v>
          </cell>
          <cell r="D205">
            <v>36622</v>
          </cell>
          <cell r="E205">
            <v>4664.2299999999996</v>
          </cell>
          <cell r="F205">
            <v>1</v>
          </cell>
          <cell r="G205" t="str">
            <v xml:space="preserve">Celeron/900 MHz/64 Mb/20000 Mb/SVGA Hewlett-Packard ПК HP Vectra VL400, Cel 900MHz, 64MB PC133 SDRAM, 20GB, AGP и Монитор 15'' ViewSonic E651 </v>
          </cell>
          <cell r="H205">
            <v>15097</v>
          </cell>
          <cell r="I205">
            <v>1</v>
          </cell>
          <cell r="J205">
            <v>15097</v>
          </cell>
        </row>
        <row r="206">
          <cell r="B206" t="str">
            <v>ООС-0104-000287</v>
          </cell>
          <cell r="C206" t="str">
            <v>Сис. Блок Vei7</v>
          </cell>
          <cell r="D206">
            <v>36710</v>
          </cell>
          <cell r="E206">
            <v>5108.63</v>
          </cell>
          <cell r="F206">
            <v>1</v>
          </cell>
          <cell r="G206" t="str">
            <v xml:space="preserve">HP Vectra VEi7 DT C466-32M4.3G/S95      HPD8126A </v>
          </cell>
          <cell r="H206">
            <v>16955</v>
          </cell>
          <cell r="I206">
            <v>1</v>
          </cell>
          <cell r="J206">
            <v>16955</v>
          </cell>
        </row>
        <row r="207">
          <cell r="B207" t="str">
            <v>ООС-0104-000342</v>
          </cell>
          <cell r="C207" t="str">
            <v>Счетчик купюр Lauser700</v>
          </cell>
          <cell r="D207">
            <v>36831</v>
          </cell>
          <cell r="E207">
            <v>6634.76</v>
          </cell>
          <cell r="F207">
            <v>1</v>
          </cell>
          <cell r="G207" t="str">
            <v xml:space="preserve">Счетчики купюр LAURIEL J-700 ЯПОНИЯ </v>
          </cell>
          <cell r="H207">
            <v>9970</v>
          </cell>
          <cell r="I207">
            <v>1</v>
          </cell>
          <cell r="J207">
            <v>9970</v>
          </cell>
        </row>
        <row r="208">
          <cell r="B208" t="str">
            <v>ООС-0104-000458</v>
          </cell>
          <cell r="C208" t="str">
            <v>Телеф.Panasonic KT-ST15</v>
          </cell>
          <cell r="D208">
            <v>37165</v>
          </cell>
          <cell r="E208">
            <v>0</v>
          </cell>
          <cell r="F208">
            <v>1</v>
          </cell>
          <cell r="G208" t="str">
            <v xml:space="preserve">Телефон Panasonic KX-TCD512RU </v>
          </cell>
          <cell r="H208">
            <v>5096</v>
          </cell>
          <cell r="I208">
            <v>1</v>
          </cell>
          <cell r="J208">
            <v>5096</v>
          </cell>
        </row>
        <row r="209">
          <cell r="B209" t="str">
            <v>ООС-0104-000549</v>
          </cell>
          <cell r="C209" t="str">
            <v>Принтер HPLJ4100N</v>
          </cell>
          <cell r="D209">
            <v>37316</v>
          </cell>
          <cell r="E209">
            <v>18194.95</v>
          </cell>
          <cell r="F209">
            <v>1</v>
          </cell>
          <cell r="G209" t="str">
            <v xml:space="preserve">Принтер Hewlett Packard LJ 4100 LPT </v>
          </cell>
          <cell r="H209">
            <v>27043</v>
          </cell>
          <cell r="I209">
            <v>1</v>
          </cell>
          <cell r="J209">
            <v>27043</v>
          </cell>
        </row>
        <row r="210">
          <cell r="B210" t="str">
            <v>ООС-0104-000741</v>
          </cell>
          <cell r="C210" t="str">
            <v>Принтер HPLJ4050</v>
          </cell>
          <cell r="D210">
            <v>37622</v>
          </cell>
          <cell r="E210">
            <v>10814.57</v>
          </cell>
          <cell r="F210">
            <v>1</v>
          </cell>
          <cell r="G210" t="str">
            <v xml:space="preserve">HP LaserJet 4050N (C4253A) A4 16 стр/ мин сетевой 1200dpi </v>
          </cell>
          <cell r="H210">
            <v>44522</v>
          </cell>
          <cell r="I210">
            <v>1</v>
          </cell>
          <cell r="J210">
            <v>44522</v>
          </cell>
        </row>
        <row r="211">
          <cell r="B211" t="str">
            <v>ООС-0104-000756</v>
          </cell>
          <cell r="C211" t="str">
            <v>Сис. Блок VI400</v>
          </cell>
          <cell r="D211">
            <v>37622</v>
          </cell>
          <cell r="E211">
            <v>11625.3</v>
          </cell>
          <cell r="F211">
            <v>1</v>
          </cell>
          <cell r="G211" t="str">
            <v>Celeron/900 MHz/64 Mb/20000 Mb/SVGA Hewlett-Packard ПК HP Vectra VL400, Cel 900MHz, 64MB PC133 SDRAM, 20GB, AGP</v>
          </cell>
          <cell r="H211">
            <v>11076</v>
          </cell>
          <cell r="I211">
            <v>1</v>
          </cell>
          <cell r="J211">
            <v>11076</v>
          </cell>
        </row>
        <row r="212">
          <cell r="B212" t="str">
            <v>ООС-0104-000845</v>
          </cell>
          <cell r="C212" t="str">
            <v>Сис. Блок VEI7</v>
          </cell>
          <cell r="D212">
            <v>37742</v>
          </cell>
          <cell r="E212">
            <v>9441.7199999999993</v>
          </cell>
          <cell r="F212">
            <v>1</v>
          </cell>
          <cell r="G212" t="str">
            <v xml:space="preserve">HP Vectra VEi7 DT C466-32M4.3G/S95      HPD8126A </v>
          </cell>
          <cell r="H212">
            <v>16955</v>
          </cell>
          <cell r="I212">
            <v>1</v>
          </cell>
          <cell r="J212">
            <v>16955</v>
          </cell>
        </row>
        <row r="213">
          <cell r="B213" t="str">
            <v>ООС-0104-000847</v>
          </cell>
          <cell r="C213" t="str">
            <v>Сис. Блок VEi7</v>
          </cell>
          <cell r="D213">
            <v>37742</v>
          </cell>
          <cell r="E213">
            <v>7743.32</v>
          </cell>
          <cell r="F213">
            <v>1</v>
          </cell>
          <cell r="G213" t="str">
            <v xml:space="preserve">HP Vectra VEi7 DT C466-32M4.3G/S95      HPD8126A </v>
          </cell>
          <cell r="H213">
            <v>16955</v>
          </cell>
          <cell r="I213">
            <v>1</v>
          </cell>
          <cell r="J213">
            <v>16955</v>
          </cell>
        </row>
        <row r="214">
          <cell r="B214" t="str">
            <v>ООС-0104-000848</v>
          </cell>
          <cell r="C214" t="str">
            <v>Сис. Блок Vei7</v>
          </cell>
          <cell r="D214">
            <v>37742</v>
          </cell>
          <cell r="E214">
            <v>7743.32</v>
          </cell>
          <cell r="F214">
            <v>1</v>
          </cell>
          <cell r="G214" t="str">
            <v xml:space="preserve">HP Vectra VEi7 DT C466-32M4.3G/S95      HPD8126A </v>
          </cell>
          <cell r="H214">
            <v>16955</v>
          </cell>
          <cell r="I214">
            <v>1</v>
          </cell>
          <cell r="J214">
            <v>16955</v>
          </cell>
        </row>
        <row r="215">
          <cell r="B215" t="str">
            <v>ООС-0105-000499</v>
          </cell>
          <cell r="C215" t="str">
            <v>Моб. Архив Kasten</v>
          </cell>
          <cell r="D215">
            <v>37377</v>
          </cell>
          <cell r="E215">
            <v>123087.25</v>
          </cell>
          <cell r="F215">
            <v>1</v>
          </cell>
          <cell r="G215" t="str">
            <v xml:space="preserve">Мобильные стеллажи KASTEN-Mobile </v>
          </cell>
          <cell r="H215">
            <v>70313</v>
          </cell>
          <cell r="I215">
            <v>1</v>
          </cell>
          <cell r="J215">
            <v>70313</v>
          </cell>
        </row>
        <row r="216">
          <cell r="B216" t="str">
            <v>ООС-0104-001042</v>
          </cell>
          <cell r="C216" t="str">
            <v>Сис. Блок HP D230m</v>
          </cell>
          <cell r="D216">
            <v>38244</v>
          </cell>
          <cell r="E216">
            <v>10703.69</v>
          </cell>
          <cell r="F216">
            <v>1</v>
          </cell>
          <cell r="G216" t="str">
            <v xml:space="preserve">HP Compaq d230m P2.66GHz 256Mb 40Gb CD XPP </v>
          </cell>
          <cell r="H216">
            <v>19377</v>
          </cell>
          <cell r="I216">
            <v>1</v>
          </cell>
          <cell r="J216">
            <v>19377</v>
          </cell>
        </row>
        <row r="217">
          <cell r="B217" t="str">
            <v>ООС-0104-001045</v>
          </cell>
          <cell r="C217" t="str">
            <v>Сис. Блок HP D230m</v>
          </cell>
          <cell r="D217">
            <v>38244</v>
          </cell>
          <cell r="E217">
            <v>10703.69</v>
          </cell>
          <cell r="F217">
            <v>1</v>
          </cell>
          <cell r="G217" t="str">
            <v xml:space="preserve">HP Compaq d230m P2.66GHz 256Mb 40Gb CD XPP </v>
          </cell>
          <cell r="H217">
            <v>19377</v>
          </cell>
          <cell r="I217">
            <v>1</v>
          </cell>
          <cell r="J217">
            <v>19377</v>
          </cell>
        </row>
        <row r="218">
          <cell r="B218" t="str">
            <v>ООС-0104-001047</v>
          </cell>
          <cell r="C218" t="str">
            <v>Сис. Блок HP D230m</v>
          </cell>
          <cell r="D218">
            <v>38244</v>
          </cell>
          <cell r="E218">
            <v>10703.69</v>
          </cell>
          <cell r="F218">
            <v>1</v>
          </cell>
          <cell r="G218" t="str">
            <v xml:space="preserve">HP Compaq d230m P2.66GHz 256Mb 40Gb CD XPP </v>
          </cell>
          <cell r="H218">
            <v>19377</v>
          </cell>
          <cell r="I218">
            <v>1</v>
          </cell>
          <cell r="J218">
            <v>19377</v>
          </cell>
        </row>
        <row r="219">
          <cell r="B219" t="str">
            <v>ООС-0104-001050</v>
          </cell>
          <cell r="C219" t="str">
            <v>Сис. Блок HP D230m</v>
          </cell>
          <cell r="D219">
            <v>38244</v>
          </cell>
          <cell r="E219">
            <v>10703.69</v>
          </cell>
          <cell r="F219">
            <v>1</v>
          </cell>
          <cell r="G219" t="str">
            <v xml:space="preserve">HP Compaq d230m P2.66GHz 256Mb 40Gb CD XPP </v>
          </cell>
          <cell r="H219">
            <v>19377</v>
          </cell>
          <cell r="I219">
            <v>1</v>
          </cell>
          <cell r="J219">
            <v>19377</v>
          </cell>
        </row>
        <row r="220">
          <cell r="B220" t="str">
            <v>ООС-0104-001052</v>
          </cell>
          <cell r="C220" t="str">
            <v>Сис. Блок HP D230m</v>
          </cell>
          <cell r="D220">
            <v>38244</v>
          </cell>
          <cell r="E220">
            <v>10703.69</v>
          </cell>
          <cell r="F220">
            <v>1</v>
          </cell>
          <cell r="G220" t="str">
            <v xml:space="preserve">HP Compaq d230m P2.66GHz 256Mb 40Gb CD XPP </v>
          </cell>
          <cell r="H220">
            <v>19377</v>
          </cell>
          <cell r="I220">
            <v>1</v>
          </cell>
          <cell r="J220">
            <v>19377</v>
          </cell>
        </row>
        <row r="221">
          <cell r="B221" t="str">
            <v>ООС-0104-001054</v>
          </cell>
          <cell r="C221" t="str">
            <v>Сис. Блок HP D230m</v>
          </cell>
          <cell r="D221">
            <v>38244</v>
          </cell>
          <cell r="E221">
            <v>10703.69</v>
          </cell>
          <cell r="F221">
            <v>1</v>
          </cell>
          <cell r="G221" t="str">
            <v xml:space="preserve">HP Compaq d230m P2.66GHz 256Mb 40Gb CD XPP </v>
          </cell>
          <cell r="H221">
            <v>19377</v>
          </cell>
          <cell r="I221">
            <v>1</v>
          </cell>
          <cell r="J221">
            <v>19377</v>
          </cell>
        </row>
        <row r="222">
          <cell r="B222" t="str">
            <v>ООС-0104-000449</v>
          </cell>
          <cell r="C222" t="str">
            <v>Телеф.Panasonic KT-ST15</v>
          </cell>
          <cell r="D222">
            <v>37165</v>
          </cell>
          <cell r="E222">
            <v>0</v>
          </cell>
          <cell r="F222">
            <v>1</v>
          </cell>
          <cell r="G222" t="str">
            <v xml:space="preserve">Телефон Panasonic KX-TCD512RU </v>
          </cell>
          <cell r="H222">
            <v>5096</v>
          </cell>
          <cell r="I222">
            <v>1</v>
          </cell>
          <cell r="J222">
            <v>5096</v>
          </cell>
        </row>
        <row r="223">
          <cell r="B223" t="str">
            <v>ООС-0105-000418</v>
          </cell>
          <cell r="C223" t="str">
            <v>Шкаф  А722К00</v>
          </cell>
          <cell r="D223">
            <v>36965</v>
          </cell>
          <cell r="E223">
            <v>0</v>
          </cell>
          <cell r="F223">
            <v>1</v>
          </cell>
          <cell r="G223" t="str">
            <v xml:space="preserve">Шкаф BISLEY (Великобритания), А-722, 1649х457х914 мм </v>
          </cell>
          <cell r="H223">
            <v>10305</v>
          </cell>
          <cell r="I223">
            <v>1</v>
          </cell>
          <cell r="J223">
            <v>10305</v>
          </cell>
        </row>
        <row r="224">
          <cell r="B224" t="str">
            <v>ООС-0105-000419</v>
          </cell>
          <cell r="C224" t="str">
            <v>Шкаф  А722К00</v>
          </cell>
          <cell r="D224">
            <v>36965</v>
          </cell>
          <cell r="E224">
            <v>0</v>
          </cell>
          <cell r="F224">
            <v>1</v>
          </cell>
          <cell r="G224" t="str">
            <v xml:space="preserve">Шкаф BISLEY (Великобритания), А-722, 1649х457х914 мм </v>
          </cell>
          <cell r="H224">
            <v>10305</v>
          </cell>
          <cell r="I224">
            <v>1</v>
          </cell>
          <cell r="J224">
            <v>10305</v>
          </cell>
        </row>
        <row r="225">
          <cell r="B225" t="str">
            <v>ООС-0105-000420</v>
          </cell>
          <cell r="C225" t="str">
            <v>Шкаф  А722К00</v>
          </cell>
          <cell r="D225">
            <v>36965</v>
          </cell>
          <cell r="E225">
            <v>0</v>
          </cell>
          <cell r="F225">
            <v>1</v>
          </cell>
          <cell r="G225" t="str">
            <v xml:space="preserve">Шкаф BISLEY (Великобритания), А-722, 1649х457х914 мм </v>
          </cell>
          <cell r="H225">
            <v>10305</v>
          </cell>
          <cell r="I225">
            <v>1</v>
          </cell>
          <cell r="J225">
            <v>10305</v>
          </cell>
        </row>
        <row r="226">
          <cell r="B226" t="str">
            <v>ООС-0105-000422</v>
          </cell>
          <cell r="C226" t="str">
            <v>Сейф BS-T530</v>
          </cell>
          <cell r="D226">
            <v>36972</v>
          </cell>
          <cell r="E226">
            <v>0</v>
          </cell>
          <cell r="F226">
            <v>1</v>
          </cell>
          <cell r="G226" t="str">
            <v xml:space="preserve">Сейф TOPAZ BST-530 </v>
          </cell>
          <cell r="H226">
            <v>8008</v>
          </cell>
          <cell r="I226">
            <v>1</v>
          </cell>
          <cell r="J226">
            <v>8008</v>
          </cell>
        </row>
        <row r="227">
          <cell r="B227" t="str">
            <v>ООС-0104-000286</v>
          </cell>
          <cell r="C227" t="str">
            <v>Сис. Блок VEi7</v>
          </cell>
          <cell r="D227">
            <v>36719</v>
          </cell>
          <cell r="E227">
            <v>4709.32</v>
          </cell>
          <cell r="F227">
            <v>1</v>
          </cell>
          <cell r="G227" t="str">
            <v xml:space="preserve">HP Vectra VEi7 DT C466-32M4.3G/S95      HPD8126A </v>
          </cell>
          <cell r="H227">
            <v>16955</v>
          </cell>
          <cell r="I227">
            <v>1</v>
          </cell>
          <cell r="J227">
            <v>16955</v>
          </cell>
        </row>
        <row r="228">
          <cell r="B228" t="str">
            <v>ООС-0104-000297</v>
          </cell>
          <cell r="C228" t="str">
            <v>Принтер HP 4050N</v>
          </cell>
          <cell r="D228">
            <v>36708</v>
          </cell>
          <cell r="E228">
            <v>18199.98</v>
          </cell>
          <cell r="F228">
            <v>1</v>
          </cell>
          <cell r="G228" t="str">
            <v xml:space="preserve">HP LaserJet 4050N (C4253A) A4 16 стр/ мин сетевой 1200dpi </v>
          </cell>
          <cell r="H228">
            <v>44522</v>
          </cell>
          <cell r="I228">
            <v>1</v>
          </cell>
          <cell r="J228">
            <v>44522</v>
          </cell>
        </row>
        <row r="229">
          <cell r="B229" t="str">
            <v>ООС-0104-000304</v>
          </cell>
          <cell r="C229" t="str">
            <v>Принтер HP 4050N</v>
          </cell>
          <cell r="D229">
            <v>36762</v>
          </cell>
          <cell r="E229">
            <v>18006.05</v>
          </cell>
          <cell r="F229">
            <v>1</v>
          </cell>
          <cell r="G229" t="str">
            <v xml:space="preserve">HP LaserJet 4050N (C4253A) A4 16 стр/ мин сетевой 1200dpi </v>
          </cell>
          <cell r="H229">
            <v>44522</v>
          </cell>
          <cell r="I229">
            <v>1</v>
          </cell>
          <cell r="J229">
            <v>44522</v>
          </cell>
        </row>
        <row r="230">
          <cell r="B230" t="str">
            <v>ООС-0104-000305</v>
          </cell>
          <cell r="C230" t="str">
            <v>Сис. Блок VEi7</v>
          </cell>
          <cell r="D230">
            <v>36762</v>
          </cell>
          <cell r="E230">
            <v>4479.51</v>
          </cell>
          <cell r="F230">
            <v>1</v>
          </cell>
          <cell r="G230" t="str">
            <v xml:space="preserve">HP Vectra VEi7 DT C466-32M4.3G/S95      HPD8126A </v>
          </cell>
          <cell r="H230">
            <v>16955</v>
          </cell>
          <cell r="I230">
            <v>1</v>
          </cell>
          <cell r="J230">
            <v>16955</v>
          </cell>
        </row>
        <row r="231">
          <cell r="B231" t="str">
            <v>ООС-0104-000324</v>
          </cell>
          <cell r="C231" t="str">
            <v>Холодильник Bosch3501</v>
          </cell>
          <cell r="D231">
            <v>36816</v>
          </cell>
          <cell r="E231">
            <v>13028.39</v>
          </cell>
          <cell r="F231">
            <v>1</v>
          </cell>
          <cell r="G231" t="str">
            <v>Холодильник Liebherr C 3501-20 001</v>
          </cell>
          <cell r="H231">
            <v>23398</v>
          </cell>
          <cell r="I231">
            <v>1</v>
          </cell>
          <cell r="J231">
            <v>23398</v>
          </cell>
        </row>
        <row r="232">
          <cell r="B232" t="str">
            <v>ООС-0104-000408</v>
          </cell>
          <cell r="C232" t="str">
            <v>Тележка SC9</v>
          </cell>
          <cell r="D232">
            <v>36923</v>
          </cell>
          <cell r="E232">
            <v>0</v>
          </cell>
          <cell r="F232">
            <v>1</v>
          </cell>
          <cell r="G232" t="str">
            <v xml:space="preserve">Тележка гидравлическая ВТ L 2,3 T (Швеция) </v>
          </cell>
          <cell r="H232">
            <v>11800</v>
          </cell>
          <cell r="I232">
            <v>1</v>
          </cell>
          <cell r="J232">
            <v>11800</v>
          </cell>
        </row>
        <row r="233">
          <cell r="B233" t="str">
            <v>ООС-0104-000421</v>
          </cell>
          <cell r="C233" t="str">
            <v>Стремянка 8-ти ступ.</v>
          </cell>
          <cell r="D233">
            <v>36951</v>
          </cell>
          <cell r="E233">
            <v>0</v>
          </cell>
          <cell r="F233">
            <v>1</v>
          </cell>
          <cell r="G233" t="str">
            <v>Стремянка 8 ступ. "Hailo" 172см., 7,3кг.</v>
          </cell>
          <cell r="H233">
            <v>3269</v>
          </cell>
          <cell r="I233">
            <v>1</v>
          </cell>
          <cell r="J233">
            <v>3269</v>
          </cell>
        </row>
        <row r="234">
          <cell r="B234" t="str">
            <v>ООС-0104-000116</v>
          </cell>
          <cell r="C234" t="str">
            <v>Снегоочиститель CCR3000</v>
          </cell>
          <cell r="D234">
            <v>36464</v>
          </cell>
          <cell r="E234">
            <v>14274.82</v>
          </cell>
          <cell r="F234">
            <v>1</v>
          </cell>
          <cell r="G234" t="str">
            <v>СНЕГООЧИСТИТЕЛЬ</v>
          </cell>
          <cell r="H234">
            <v>27542</v>
          </cell>
          <cell r="I234">
            <v>1</v>
          </cell>
          <cell r="J234">
            <v>27542</v>
          </cell>
        </row>
        <row r="235">
          <cell r="B235" t="str">
            <v>ООС-0104-000157</v>
          </cell>
          <cell r="C235" t="str">
            <v>БатарейкаB UPS9000</v>
          </cell>
          <cell r="D235">
            <v>36495</v>
          </cell>
          <cell r="E235">
            <v>24698.9</v>
          </cell>
          <cell r="F235">
            <v>1</v>
          </cell>
          <cell r="G235" t="str">
            <v xml:space="preserve">Tecra 9000 </v>
          </cell>
          <cell r="H235">
            <v>5879</v>
          </cell>
          <cell r="I235">
            <v>1</v>
          </cell>
          <cell r="J235">
            <v>5879</v>
          </cell>
        </row>
        <row r="236">
          <cell r="B236" t="str">
            <v>ООС-0104-000331</v>
          </cell>
          <cell r="C236" t="str">
            <v>Электрокалорифер КЭ</v>
          </cell>
          <cell r="D236">
            <v>36846</v>
          </cell>
          <cell r="E236">
            <v>127615.9</v>
          </cell>
          <cell r="F236">
            <v>1</v>
          </cell>
          <cell r="G236" t="str">
            <v xml:space="preserve">электрокалорифер СФОЦ-250 </v>
          </cell>
          <cell r="H236">
            <v>57734</v>
          </cell>
          <cell r="I236">
            <v>1</v>
          </cell>
          <cell r="J236">
            <v>57734</v>
          </cell>
        </row>
        <row r="237">
          <cell r="B237" t="str">
            <v>ООС-0104-000614</v>
          </cell>
          <cell r="C237" t="str">
            <v>Частотный преобразов.</v>
          </cell>
          <cell r="D237">
            <v>37500</v>
          </cell>
          <cell r="E237">
            <v>28731.74</v>
          </cell>
          <cell r="F237">
            <v>1</v>
          </cell>
          <cell r="G237" t="str">
            <v xml:space="preserve">Частотный преобразователь ATV38 11 KW </v>
          </cell>
          <cell r="H237">
            <v>37845</v>
          </cell>
          <cell r="I237">
            <v>1</v>
          </cell>
          <cell r="J237">
            <v>37845</v>
          </cell>
        </row>
        <row r="238">
          <cell r="B238" t="str">
            <v>ООС-0104-000765</v>
          </cell>
          <cell r="C238" t="str">
            <v xml:space="preserve">Холодильная установка </v>
          </cell>
          <cell r="D238">
            <v>37653</v>
          </cell>
          <cell r="E238">
            <v>149675.1</v>
          </cell>
          <cell r="F238">
            <v>1</v>
          </cell>
          <cell r="G238" t="str">
            <v xml:space="preserve">Установка аммиачная холодильная МКВ 48 </v>
          </cell>
          <cell r="H238">
            <v>106780</v>
          </cell>
          <cell r="I238">
            <v>1</v>
          </cell>
          <cell r="J238">
            <v>106780</v>
          </cell>
        </row>
        <row r="239">
          <cell r="B239" t="str">
            <v>ООС-0104-000179</v>
          </cell>
          <cell r="C239" t="str">
            <v>Командный пульт</v>
          </cell>
          <cell r="D239">
            <v>36605</v>
          </cell>
          <cell r="E239">
            <v>57329.04</v>
          </cell>
          <cell r="F239">
            <v>1</v>
          </cell>
          <cell r="G239" t="str">
            <v xml:space="preserve">Пульт управления </v>
          </cell>
          <cell r="H239">
            <v>57614</v>
          </cell>
          <cell r="I239">
            <v>1</v>
          </cell>
          <cell r="J239">
            <v>57614</v>
          </cell>
        </row>
        <row r="240">
          <cell r="B240" t="str">
            <v>ООС-0104-000220</v>
          </cell>
          <cell r="C240" t="str">
            <v>Радиостанция GP320</v>
          </cell>
          <cell r="D240">
            <v>36672</v>
          </cell>
          <cell r="E240">
            <v>6071.5</v>
          </cell>
          <cell r="F240">
            <v>1</v>
          </cell>
          <cell r="G240" t="str">
            <v xml:space="preserve">MOTOROLA GP-320 </v>
          </cell>
          <cell r="H240">
            <v>7431</v>
          </cell>
          <cell r="I240">
            <v>1</v>
          </cell>
          <cell r="J240">
            <v>7431</v>
          </cell>
        </row>
        <row r="241">
          <cell r="B241" t="str">
            <v>ООС-0104-000221</v>
          </cell>
          <cell r="C241" t="str">
            <v>Радиостанция GP320</v>
          </cell>
          <cell r="D241">
            <v>36672</v>
          </cell>
          <cell r="E241">
            <v>6071.5</v>
          </cell>
          <cell r="F241">
            <v>1</v>
          </cell>
          <cell r="G241" t="str">
            <v xml:space="preserve">MOTOROLA GP-320 </v>
          </cell>
          <cell r="H241">
            <v>7431</v>
          </cell>
          <cell r="I241">
            <v>1</v>
          </cell>
          <cell r="J241">
            <v>7431</v>
          </cell>
        </row>
        <row r="242">
          <cell r="B242" t="str">
            <v>ООС-0104-000768</v>
          </cell>
          <cell r="C242" t="str">
            <v>Тепловая завеса</v>
          </cell>
          <cell r="D242">
            <v>37653</v>
          </cell>
          <cell r="E242">
            <v>23486.48</v>
          </cell>
          <cell r="F242">
            <v>1</v>
          </cell>
          <cell r="G242" t="str">
            <v>ТРОПИК ЗЭТ-18-ДУ Высокопроизводительная завеса для вертикальной / горизонтальной установки</v>
          </cell>
          <cell r="H242">
            <v>25397</v>
          </cell>
          <cell r="I242">
            <v>1</v>
          </cell>
          <cell r="J242">
            <v>25397</v>
          </cell>
        </row>
        <row r="243">
          <cell r="B243" t="str">
            <v>ООС-0104-000791</v>
          </cell>
          <cell r="C243" t="str">
            <v>Сис. Блок+монит. VL400</v>
          </cell>
          <cell r="D243">
            <v>37741</v>
          </cell>
          <cell r="E243">
            <v>19762.46</v>
          </cell>
          <cell r="F243">
            <v>1</v>
          </cell>
          <cell r="G243" t="str">
            <v xml:space="preserve">Celeron/900 MHz/64 Mb/20000 Mb/SVGA Hewlett-Packard ПК HP Vectra VL400, Cel 900MHz, 64MB PC133 SDRAM, 20GB, AGP и ViewSonic VP 140 TCO'99 </v>
          </cell>
          <cell r="H243">
            <v>17190</v>
          </cell>
          <cell r="I243">
            <v>1</v>
          </cell>
          <cell r="J243">
            <v>17190</v>
          </cell>
        </row>
        <row r="244">
          <cell r="B244" t="str">
            <v>ООС-0106-000453</v>
          </cell>
          <cell r="C244" t="str">
            <v>Автомобиль ВАЗ-21043</v>
          </cell>
          <cell r="D244">
            <v>37561</v>
          </cell>
          <cell r="E244">
            <v>55170.44</v>
          </cell>
          <cell r="F244">
            <v>1</v>
          </cell>
          <cell r="G244" t="str">
            <v>ВАЗ-21043-01-010</v>
          </cell>
          <cell r="H244">
            <v>95763</v>
          </cell>
          <cell r="I244">
            <v>1</v>
          </cell>
          <cell r="J244">
            <v>95763</v>
          </cell>
        </row>
        <row r="245">
          <cell r="B245" t="str">
            <v>ООС-0105-000046</v>
          </cell>
          <cell r="C245" t="str">
            <v xml:space="preserve">Шкаф 2-х дверный </v>
          </cell>
          <cell r="D245">
            <v>36146</v>
          </cell>
          <cell r="E245">
            <v>0</v>
          </cell>
          <cell r="F245">
            <v>1</v>
          </cell>
          <cell r="G245" t="str">
            <v>Шкаф-купе 2-х дверный "Антон Т-1"</v>
          </cell>
          <cell r="H245">
            <v>3814</v>
          </cell>
          <cell r="I245">
            <v>1</v>
          </cell>
          <cell r="J245">
            <v>3814</v>
          </cell>
        </row>
        <row r="246">
          <cell r="B246" t="str">
            <v>ООС-0105-000047</v>
          </cell>
          <cell r="C246" t="str">
            <v xml:space="preserve">Шкаф 2-х дверный </v>
          </cell>
          <cell r="D246">
            <v>36146</v>
          </cell>
          <cell r="E246">
            <v>0</v>
          </cell>
          <cell r="F246">
            <v>1</v>
          </cell>
          <cell r="G246" t="str">
            <v>Шкаф-купе 2-х дверный "Антон Т-1"</v>
          </cell>
          <cell r="H246">
            <v>3814</v>
          </cell>
          <cell r="I246">
            <v>1</v>
          </cell>
          <cell r="J246">
            <v>3814</v>
          </cell>
        </row>
        <row r="247">
          <cell r="B247" t="str">
            <v>ООС-0105-000048</v>
          </cell>
          <cell r="C247" t="str">
            <v xml:space="preserve">Шкаф 2-х дверный </v>
          </cell>
          <cell r="D247">
            <v>36146</v>
          </cell>
          <cell r="E247">
            <v>0</v>
          </cell>
          <cell r="F247">
            <v>1</v>
          </cell>
          <cell r="G247" t="str">
            <v>Шкаф-купе 2-х дверный "Антон Т-1"</v>
          </cell>
          <cell r="H247">
            <v>3814</v>
          </cell>
          <cell r="I247">
            <v>1</v>
          </cell>
          <cell r="J247">
            <v>3814</v>
          </cell>
        </row>
        <row r="248">
          <cell r="B248" t="str">
            <v>ООС-0105-000049</v>
          </cell>
          <cell r="C248" t="str">
            <v xml:space="preserve">Шкаф 2-х дверный </v>
          </cell>
          <cell r="D248">
            <v>36146</v>
          </cell>
          <cell r="E248">
            <v>0</v>
          </cell>
          <cell r="F248">
            <v>1</v>
          </cell>
          <cell r="G248" t="str">
            <v>Шкаф-купе 2-х дверный "Антон Т-1"</v>
          </cell>
          <cell r="H248">
            <v>3814</v>
          </cell>
          <cell r="I248">
            <v>1</v>
          </cell>
          <cell r="J248">
            <v>3814</v>
          </cell>
        </row>
        <row r="249">
          <cell r="B249" t="str">
            <v>ООС-0105-000050</v>
          </cell>
          <cell r="C249" t="str">
            <v xml:space="preserve">Шкаф 2-х дверный </v>
          </cell>
          <cell r="D249">
            <v>36146</v>
          </cell>
          <cell r="E249">
            <v>0</v>
          </cell>
          <cell r="F249">
            <v>1</v>
          </cell>
          <cell r="G249" t="str">
            <v>Шкаф-купе 2-х дверный "Антон Т-1"</v>
          </cell>
          <cell r="H249">
            <v>3814</v>
          </cell>
          <cell r="I249">
            <v>1</v>
          </cell>
          <cell r="J249">
            <v>3814</v>
          </cell>
        </row>
        <row r="250">
          <cell r="B250" t="str">
            <v>ООС-0105-000051</v>
          </cell>
          <cell r="C250" t="str">
            <v xml:space="preserve">Шкаф 2-х дверный </v>
          </cell>
          <cell r="D250">
            <v>36146</v>
          </cell>
          <cell r="E250">
            <v>0</v>
          </cell>
          <cell r="F250">
            <v>1</v>
          </cell>
          <cell r="G250" t="str">
            <v>Шкаф-купе 2-х дверный "Антон Т-1"</v>
          </cell>
          <cell r="H250">
            <v>3814</v>
          </cell>
          <cell r="I250">
            <v>1</v>
          </cell>
          <cell r="J250">
            <v>3814</v>
          </cell>
        </row>
        <row r="251">
          <cell r="B251" t="str">
            <v>ООС-0105-000052</v>
          </cell>
          <cell r="C251" t="str">
            <v xml:space="preserve">Шкаф 2-х дверный </v>
          </cell>
          <cell r="D251">
            <v>36146</v>
          </cell>
          <cell r="E251">
            <v>0</v>
          </cell>
          <cell r="F251">
            <v>1</v>
          </cell>
          <cell r="G251" t="str">
            <v>Шкаф-купе 2-х дверный "Антон Т-1"</v>
          </cell>
          <cell r="H251">
            <v>3814</v>
          </cell>
          <cell r="I251">
            <v>1</v>
          </cell>
          <cell r="J251">
            <v>3814</v>
          </cell>
        </row>
        <row r="252">
          <cell r="B252" t="str">
            <v>ООС-0105-000053</v>
          </cell>
          <cell r="C252" t="str">
            <v xml:space="preserve">Шкаф 2-х дверный </v>
          </cell>
          <cell r="D252">
            <v>36146</v>
          </cell>
          <cell r="E252">
            <v>0</v>
          </cell>
          <cell r="F252">
            <v>1</v>
          </cell>
          <cell r="G252" t="str">
            <v>Шкаф-купе 2-х дверный "Антон Т-1"</v>
          </cell>
          <cell r="H252">
            <v>3814</v>
          </cell>
          <cell r="I252">
            <v>1</v>
          </cell>
          <cell r="J252">
            <v>3814</v>
          </cell>
        </row>
        <row r="253">
          <cell r="B253" t="str">
            <v>ООС-0105-000054</v>
          </cell>
          <cell r="C253" t="str">
            <v xml:space="preserve">Шкаф 2-х дверный </v>
          </cell>
          <cell r="D253">
            <v>36146</v>
          </cell>
          <cell r="E253">
            <v>0</v>
          </cell>
          <cell r="F253">
            <v>1</v>
          </cell>
          <cell r="G253" t="str">
            <v>Шкаф-купе 2-х дверный "Антон Т-1"</v>
          </cell>
          <cell r="H253">
            <v>3814</v>
          </cell>
          <cell r="I253">
            <v>1</v>
          </cell>
          <cell r="J253">
            <v>3814</v>
          </cell>
        </row>
        <row r="254">
          <cell r="B254" t="str">
            <v>ООС-0105-000055</v>
          </cell>
          <cell r="C254" t="str">
            <v xml:space="preserve">Шкаф 2-х дверный </v>
          </cell>
          <cell r="D254">
            <v>36146</v>
          </cell>
          <cell r="E254">
            <v>0</v>
          </cell>
          <cell r="F254">
            <v>1</v>
          </cell>
          <cell r="G254" t="str">
            <v>Шкаф-купе 2-х дверный "Антон Т-1"</v>
          </cell>
          <cell r="H254">
            <v>3814</v>
          </cell>
          <cell r="I254">
            <v>1</v>
          </cell>
          <cell r="J254">
            <v>3814</v>
          </cell>
        </row>
        <row r="255">
          <cell r="B255" t="str">
            <v>ООС-0105-000056</v>
          </cell>
          <cell r="C255" t="str">
            <v xml:space="preserve">Шкаф 2-х дверный </v>
          </cell>
          <cell r="D255">
            <v>36146</v>
          </cell>
          <cell r="E255">
            <v>0</v>
          </cell>
          <cell r="F255">
            <v>1</v>
          </cell>
          <cell r="G255" t="str">
            <v>Шкаф-купе 2-х дверный "Антон Т-1"</v>
          </cell>
          <cell r="H255">
            <v>3814</v>
          </cell>
          <cell r="I255">
            <v>1</v>
          </cell>
          <cell r="J255">
            <v>3814</v>
          </cell>
        </row>
        <row r="256">
          <cell r="B256" t="str">
            <v>ООС-0105-000057</v>
          </cell>
          <cell r="C256" t="str">
            <v xml:space="preserve">Шкаф 2-х дверный </v>
          </cell>
          <cell r="D256">
            <v>36146</v>
          </cell>
          <cell r="E256">
            <v>0</v>
          </cell>
          <cell r="F256">
            <v>1</v>
          </cell>
          <cell r="G256" t="str">
            <v>Шкаф-купе 2-х дверный "Антон Т-1"</v>
          </cell>
          <cell r="H256">
            <v>3814</v>
          </cell>
          <cell r="I256">
            <v>1</v>
          </cell>
          <cell r="J256">
            <v>3814</v>
          </cell>
        </row>
        <row r="257">
          <cell r="B257" t="str">
            <v>ООС-0105-000058</v>
          </cell>
          <cell r="C257" t="str">
            <v xml:space="preserve">Шкаф 2-х дверный </v>
          </cell>
          <cell r="D257">
            <v>36146</v>
          </cell>
          <cell r="E257">
            <v>0</v>
          </cell>
          <cell r="F257">
            <v>1</v>
          </cell>
          <cell r="G257" t="str">
            <v>Шкаф-купе 2-х дверный "Антон Т-1"</v>
          </cell>
          <cell r="H257">
            <v>3814</v>
          </cell>
          <cell r="I257">
            <v>1</v>
          </cell>
          <cell r="J257">
            <v>3814</v>
          </cell>
        </row>
        <row r="258">
          <cell r="B258" t="str">
            <v>ООС-0105-000059</v>
          </cell>
          <cell r="C258" t="str">
            <v xml:space="preserve">Шкаф 2-х дверный </v>
          </cell>
          <cell r="D258">
            <v>36146</v>
          </cell>
          <cell r="E258">
            <v>0</v>
          </cell>
          <cell r="F258">
            <v>1</v>
          </cell>
          <cell r="G258" t="str">
            <v>Шкаф-купе 2-х дверный "Антон Т-1"</v>
          </cell>
          <cell r="H258">
            <v>3814</v>
          </cell>
          <cell r="I258">
            <v>1</v>
          </cell>
          <cell r="J258">
            <v>3814</v>
          </cell>
        </row>
        <row r="259">
          <cell r="B259" t="str">
            <v>ООС-0105-000060</v>
          </cell>
          <cell r="C259" t="str">
            <v xml:space="preserve">Шкаф 2-х дверный </v>
          </cell>
          <cell r="D259">
            <v>36146</v>
          </cell>
          <cell r="E259">
            <v>0</v>
          </cell>
          <cell r="F259">
            <v>1</v>
          </cell>
          <cell r="G259" t="str">
            <v>Шкаф-купе 2-х дверный "Антон Т-1"</v>
          </cell>
          <cell r="H259">
            <v>3814</v>
          </cell>
          <cell r="I259">
            <v>1</v>
          </cell>
          <cell r="J259">
            <v>3814</v>
          </cell>
        </row>
        <row r="260">
          <cell r="B260" t="str">
            <v>ООС-0105-000061</v>
          </cell>
          <cell r="C260" t="str">
            <v xml:space="preserve">Шкаф 2-х дверный </v>
          </cell>
          <cell r="D260">
            <v>36146</v>
          </cell>
          <cell r="E260">
            <v>0</v>
          </cell>
          <cell r="F260">
            <v>1</v>
          </cell>
          <cell r="G260" t="str">
            <v>Шкаф-купе 2-х дверный "Антон Т-1"</v>
          </cell>
          <cell r="H260">
            <v>3814</v>
          </cell>
          <cell r="I260">
            <v>1</v>
          </cell>
          <cell r="J260">
            <v>3814</v>
          </cell>
        </row>
        <row r="261">
          <cell r="B261" t="str">
            <v>ООС-0105-000062</v>
          </cell>
          <cell r="C261" t="str">
            <v xml:space="preserve">Шкаф 2-х дверный </v>
          </cell>
          <cell r="D261">
            <v>36146</v>
          </cell>
          <cell r="E261">
            <v>0</v>
          </cell>
          <cell r="F261">
            <v>1</v>
          </cell>
          <cell r="G261" t="str">
            <v>Шкаф-купе 2-х дверный "Антон Т-1"</v>
          </cell>
          <cell r="H261">
            <v>3814</v>
          </cell>
          <cell r="I261">
            <v>1</v>
          </cell>
          <cell r="J261">
            <v>3814</v>
          </cell>
        </row>
        <row r="262">
          <cell r="B262" t="str">
            <v>ООС-0105-000063</v>
          </cell>
          <cell r="C262" t="str">
            <v xml:space="preserve">Шкаф 2-х дверный </v>
          </cell>
          <cell r="D262">
            <v>36146</v>
          </cell>
          <cell r="E262">
            <v>0</v>
          </cell>
          <cell r="F262">
            <v>1</v>
          </cell>
          <cell r="G262" t="str">
            <v>Шкаф-купе 2-х дверный "Антон Т-1"</v>
          </cell>
          <cell r="H262">
            <v>3814</v>
          </cell>
          <cell r="I262">
            <v>1</v>
          </cell>
          <cell r="J262">
            <v>3814</v>
          </cell>
        </row>
        <row r="263">
          <cell r="B263" t="str">
            <v>ООС-0105-000064</v>
          </cell>
          <cell r="C263" t="str">
            <v xml:space="preserve">Шкаф 2-х дверный </v>
          </cell>
          <cell r="D263">
            <v>36146</v>
          </cell>
          <cell r="E263">
            <v>0</v>
          </cell>
          <cell r="F263">
            <v>1</v>
          </cell>
          <cell r="G263" t="str">
            <v>Шкаф-купе 2-х дверный "Антон Т-1"</v>
          </cell>
          <cell r="H263">
            <v>3814</v>
          </cell>
          <cell r="I263">
            <v>1</v>
          </cell>
          <cell r="J263">
            <v>3814</v>
          </cell>
        </row>
        <row r="264">
          <cell r="B264" t="str">
            <v>ООС-0104-001063</v>
          </cell>
          <cell r="C264" t="str">
            <v>Сис. Блок 2.8/512Mb</v>
          </cell>
          <cell r="D264">
            <v>38257</v>
          </cell>
          <cell r="E264">
            <v>17171.95</v>
          </cell>
          <cell r="F264">
            <v>1</v>
          </cell>
          <cell r="G264" t="str">
            <v xml:space="preserve">HP Vectra VEi7 DT C466-32M4.3G/S95      HPD8126A </v>
          </cell>
          <cell r="H264">
            <v>16955</v>
          </cell>
          <cell r="I264">
            <v>1</v>
          </cell>
          <cell r="J264">
            <v>16955</v>
          </cell>
        </row>
        <row r="265">
          <cell r="B265" t="str">
            <v>ООС-0104-001064</v>
          </cell>
          <cell r="C265" t="str">
            <v>Монитор VS+VX900</v>
          </cell>
          <cell r="D265">
            <v>38257</v>
          </cell>
          <cell r="E265">
            <v>17067.41</v>
          </cell>
          <cell r="F265">
            <v>1</v>
          </cell>
          <cell r="G265" t="str">
            <v>19" TFT VX912 (LCD,TFT, 1280*1024-75Hz, 250кд/м, 500:1, DVI+,12 ms) TCO"99</v>
          </cell>
          <cell r="H265">
            <v>16353</v>
          </cell>
          <cell r="I265">
            <v>1</v>
          </cell>
          <cell r="J265">
            <v>16353</v>
          </cell>
        </row>
        <row r="266">
          <cell r="B266" t="str">
            <v>ООС-0104-001065</v>
          </cell>
          <cell r="C266" t="str">
            <v>Сис. Блок 2.8/512Mb</v>
          </cell>
          <cell r="D266">
            <v>38257</v>
          </cell>
          <cell r="E266">
            <v>17171.95</v>
          </cell>
          <cell r="F266">
            <v>1</v>
          </cell>
          <cell r="G266" t="str">
            <v xml:space="preserve">HP Vectra VEi7 DT C466-32M4.3G/S95      HPD8126A </v>
          </cell>
          <cell r="H266">
            <v>16955</v>
          </cell>
          <cell r="I266">
            <v>1</v>
          </cell>
          <cell r="J266">
            <v>16955</v>
          </cell>
        </row>
        <row r="267">
          <cell r="B267" t="str">
            <v>ООС-0104-001066</v>
          </cell>
          <cell r="C267" t="str">
            <v>Монитор VS+VX900</v>
          </cell>
          <cell r="D267">
            <v>38257</v>
          </cell>
          <cell r="E267">
            <v>17067.41</v>
          </cell>
          <cell r="F267">
            <v>1</v>
          </cell>
          <cell r="G267" t="str">
            <v>19" TFT VX912 (LCD,TFT, 1280*1024-75Hz, 250кд/м, 500:1, DVI+,12 ms) TCO"99</v>
          </cell>
          <cell r="H267">
            <v>16353</v>
          </cell>
          <cell r="I267">
            <v>1</v>
          </cell>
          <cell r="J267">
            <v>16353</v>
          </cell>
        </row>
        <row r="268">
          <cell r="B268" t="str">
            <v>ООС-0104-001067</v>
          </cell>
          <cell r="C268" t="str">
            <v>Сис. Блок 2.8/512Mb</v>
          </cell>
          <cell r="D268">
            <v>38257</v>
          </cell>
          <cell r="E268">
            <v>17171.95</v>
          </cell>
          <cell r="F268">
            <v>1</v>
          </cell>
          <cell r="G268" t="str">
            <v xml:space="preserve">HP Vectra VEi7 DT C466-32M4.3G/S95      HPD8126A </v>
          </cell>
          <cell r="H268">
            <v>16955</v>
          </cell>
          <cell r="I268">
            <v>1</v>
          </cell>
          <cell r="J268">
            <v>16955</v>
          </cell>
        </row>
        <row r="269">
          <cell r="B269" t="str">
            <v>ООС-0104-001068</v>
          </cell>
          <cell r="C269" t="str">
            <v>Монитор VS+VX900</v>
          </cell>
          <cell r="D269">
            <v>38257</v>
          </cell>
          <cell r="E269">
            <v>17067.41</v>
          </cell>
          <cell r="F269">
            <v>1</v>
          </cell>
          <cell r="G269" t="str">
            <v>19" TFT VX912 (LCD,TFT, 1280*1024-75Hz, 250кд/м, 500:1, DVI+,12 ms) TCO"99</v>
          </cell>
          <cell r="H269">
            <v>16353</v>
          </cell>
          <cell r="I269">
            <v>1</v>
          </cell>
          <cell r="J269">
            <v>16353</v>
          </cell>
        </row>
        <row r="270">
          <cell r="B270" t="str">
            <v>ООС-0104-000113</v>
          </cell>
          <cell r="C270" t="str">
            <v>Сис. Блок VEi8</v>
          </cell>
          <cell r="D270">
            <v>36433</v>
          </cell>
          <cell r="E270">
            <v>2602.44</v>
          </cell>
          <cell r="F270">
            <v>1</v>
          </cell>
          <cell r="G270" t="str">
            <v xml:space="preserve">DT P450-64Mb/4.3Gb/MATROX G200 AGP 8mB/3Com Lan      HPD8172N </v>
          </cell>
          <cell r="H270">
            <v>24009</v>
          </cell>
          <cell r="I270">
            <v>1</v>
          </cell>
          <cell r="J270">
            <v>24009</v>
          </cell>
        </row>
        <row r="271">
          <cell r="B271" t="str">
            <v>ООС-0104-000114</v>
          </cell>
          <cell r="C271" t="str">
            <v>Сис. Блок VEi7</v>
          </cell>
          <cell r="D271">
            <v>36433</v>
          </cell>
          <cell r="E271">
            <v>1805.77</v>
          </cell>
          <cell r="F271">
            <v>1</v>
          </cell>
          <cell r="G271" t="str">
            <v xml:space="preserve">HP Vectra VEi7 DT C466-32M4.3G/S95      HPD8126A </v>
          </cell>
          <cell r="H271">
            <v>16955</v>
          </cell>
          <cell r="I271">
            <v>1</v>
          </cell>
          <cell r="J271">
            <v>16955</v>
          </cell>
        </row>
        <row r="272">
          <cell r="B272" t="str">
            <v>ООС-0104-000115</v>
          </cell>
          <cell r="C272" t="str">
            <v>Сис. Блок VEi7</v>
          </cell>
          <cell r="D272">
            <v>36433</v>
          </cell>
          <cell r="E272">
            <v>1805.77</v>
          </cell>
          <cell r="F272">
            <v>1</v>
          </cell>
          <cell r="G272" t="str">
            <v xml:space="preserve">HP Vectra VEi7 DT C466-32M4.3G/S95      HPD8126A </v>
          </cell>
          <cell r="H272">
            <v>16955</v>
          </cell>
          <cell r="I272">
            <v>1</v>
          </cell>
          <cell r="J272">
            <v>16955</v>
          </cell>
        </row>
        <row r="273">
          <cell r="B273" t="str">
            <v>ООС-0104-000121</v>
          </cell>
          <cell r="C273" t="str">
            <v>Ноутбук Satell 4030CDT</v>
          </cell>
          <cell r="D273">
            <v>36469</v>
          </cell>
          <cell r="E273">
            <v>5041.8900000000003</v>
          </cell>
          <cell r="F273">
            <v>1</v>
          </cell>
          <cell r="G273" t="str">
            <v xml:space="preserve">Toshiba Satellite Pro 4600 </v>
          </cell>
          <cell r="H273">
            <v>14746</v>
          </cell>
          <cell r="I273">
            <v>1</v>
          </cell>
          <cell r="J273">
            <v>14746</v>
          </cell>
        </row>
        <row r="274">
          <cell r="B274" t="str">
            <v>ООС-0104-000175</v>
          </cell>
          <cell r="C274" t="str">
            <v>Ноутбук Satell 2100CDT</v>
          </cell>
          <cell r="D274">
            <v>36586</v>
          </cell>
          <cell r="E274">
            <v>7283.53</v>
          </cell>
          <cell r="F274">
            <v>1</v>
          </cell>
          <cell r="G274" t="str">
            <v xml:space="preserve">Ноутбук Toshiba Satellite 2100CDT </v>
          </cell>
          <cell r="H274">
            <v>32099</v>
          </cell>
          <cell r="I274">
            <v>1</v>
          </cell>
          <cell r="J274">
            <v>32099</v>
          </cell>
        </row>
        <row r="275">
          <cell r="B275" t="str">
            <v>ООС-0104-000176</v>
          </cell>
          <cell r="C275" t="str">
            <v>Ноутбук Tochiba IC 800</v>
          </cell>
          <cell r="D275">
            <v>36586</v>
          </cell>
          <cell r="E275">
            <v>7283.53</v>
          </cell>
          <cell r="F275">
            <v>1</v>
          </cell>
          <cell r="G275" t="str">
            <v xml:space="preserve">Ноутбук Toshiba Satellite 2805-S302 </v>
          </cell>
          <cell r="H275">
            <v>13875</v>
          </cell>
          <cell r="I275">
            <v>1</v>
          </cell>
          <cell r="J275">
            <v>13875</v>
          </cell>
        </row>
        <row r="276">
          <cell r="B276" t="str">
            <v>ООС-0104-000177</v>
          </cell>
          <cell r="C276" t="str">
            <v>Ноутбук Tochiba1800-S203</v>
          </cell>
          <cell r="D276">
            <v>36586</v>
          </cell>
          <cell r="E276">
            <v>7283.53</v>
          </cell>
          <cell r="F276">
            <v>1</v>
          </cell>
          <cell r="G276" t="str">
            <v xml:space="preserve">Ноутбук Toshiba Satellite 2805-S302 </v>
          </cell>
          <cell r="H276">
            <v>13875</v>
          </cell>
          <cell r="I276">
            <v>1</v>
          </cell>
          <cell r="J276">
            <v>13875</v>
          </cell>
        </row>
        <row r="277">
          <cell r="B277" t="str">
            <v>ООС-0104-000178</v>
          </cell>
          <cell r="C277" t="str">
            <v>Ноутбук Tochiba1800-S203</v>
          </cell>
          <cell r="D277">
            <v>36586</v>
          </cell>
          <cell r="E277">
            <v>7283.53</v>
          </cell>
          <cell r="F277">
            <v>1</v>
          </cell>
          <cell r="G277" t="str">
            <v xml:space="preserve">Ноутбук Toshiba Satellite 2805-S302 </v>
          </cell>
          <cell r="H277">
            <v>13875</v>
          </cell>
          <cell r="I277">
            <v>1</v>
          </cell>
          <cell r="J277">
            <v>13875</v>
          </cell>
        </row>
        <row r="278">
          <cell r="B278" t="str">
            <v>ООС-0104-000198</v>
          </cell>
          <cell r="C278" t="str">
            <v>Сис. Блок+мон. VS P655N</v>
          </cell>
          <cell r="D278">
            <v>36622</v>
          </cell>
          <cell r="E278">
            <v>4664.2299999999996</v>
          </cell>
          <cell r="F278">
            <v>1</v>
          </cell>
          <cell r="G278" t="str">
            <v xml:space="preserve">Celeron/900 MHz/64 Mb/20000 Mb/SVGA Hewlett-Packard ПК HP Vectra VL400, Cel 900MHz, 64MB PC133 SDRAM, 20GB, AGP и ViewSonic VP 140 TCO'99 </v>
          </cell>
          <cell r="H278">
            <v>17190</v>
          </cell>
          <cell r="I278">
            <v>1</v>
          </cell>
          <cell r="J278">
            <v>17190</v>
          </cell>
        </row>
        <row r="279">
          <cell r="B279" t="str">
            <v>ООС-0104-000199</v>
          </cell>
          <cell r="C279" t="str">
            <v>Сис. Блок+мон. ADI ALF</v>
          </cell>
          <cell r="D279">
            <v>36622</v>
          </cell>
          <cell r="E279">
            <v>4664.2299999999996</v>
          </cell>
          <cell r="F279">
            <v>1</v>
          </cell>
          <cell r="G279" t="str">
            <v xml:space="preserve">Celeron/900 MHz/64 Mb/20000 Mb/SVGA Hewlett-Packard ПК HP Vectra VL400, Cel 900MHz, 64MB PC133 SDRAM, 20GB, AGP и ViewSonic VP 140 TCO'99 </v>
          </cell>
          <cell r="H279">
            <v>17190</v>
          </cell>
          <cell r="I279">
            <v>1</v>
          </cell>
          <cell r="J279">
            <v>17190</v>
          </cell>
        </row>
        <row r="280">
          <cell r="B280" t="str">
            <v>ООС-0104-000204</v>
          </cell>
          <cell r="C280" t="str">
            <v>Сис. Блок Vei7</v>
          </cell>
          <cell r="D280">
            <v>36636</v>
          </cell>
          <cell r="E280">
            <v>5280.92</v>
          </cell>
          <cell r="F280">
            <v>1</v>
          </cell>
          <cell r="G280" t="str">
            <v xml:space="preserve">HP Vectra VEi7 DT C466-32M4.3G/S95      HPD8126A </v>
          </cell>
          <cell r="H280">
            <v>16955</v>
          </cell>
          <cell r="I280">
            <v>1</v>
          </cell>
          <cell r="J280">
            <v>16955</v>
          </cell>
        </row>
        <row r="281">
          <cell r="B281" t="str">
            <v>ООС-0104-000205</v>
          </cell>
          <cell r="C281" t="str">
            <v>Сис. Блок Vei7</v>
          </cell>
          <cell r="D281">
            <v>36636</v>
          </cell>
          <cell r="E281">
            <v>5280.92</v>
          </cell>
          <cell r="F281">
            <v>1</v>
          </cell>
          <cell r="G281" t="str">
            <v xml:space="preserve">HP Vectra VEi7 DT C466-32M4.3G/S95      HPD8126A </v>
          </cell>
          <cell r="H281">
            <v>16955</v>
          </cell>
          <cell r="I281">
            <v>1</v>
          </cell>
          <cell r="J281">
            <v>16955</v>
          </cell>
        </row>
        <row r="282">
          <cell r="B282" t="str">
            <v>ООС-0104-000206</v>
          </cell>
          <cell r="C282" t="str">
            <v>Сис. Блок Vei7</v>
          </cell>
          <cell r="D282">
            <v>36636</v>
          </cell>
          <cell r="E282">
            <v>5280.92</v>
          </cell>
          <cell r="F282">
            <v>1</v>
          </cell>
          <cell r="G282" t="str">
            <v xml:space="preserve">HP Vectra VEi7 DT C466-32M4.3G/S95      HPD8126A </v>
          </cell>
          <cell r="H282">
            <v>16955</v>
          </cell>
          <cell r="I282">
            <v>1</v>
          </cell>
          <cell r="J282">
            <v>16955</v>
          </cell>
        </row>
        <row r="283">
          <cell r="B283" t="str">
            <v>ООС-0104-000207</v>
          </cell>
          <cell r="C283" t="str">
            <v>Сис. Блок Vei7</v>
          </cell>
          <cell r="D283">
            <v>36636</v>
          </cell>
          <cell r="E283">
            <v>5280.92</v>
          </cell>
          <cell r="F283">
            <v>1</v>
          </cell>
          <cell r="G283" t="str">
            <v xml:space="preserve">HP Vectra VEi7 DT C466-32M4.3G/S95      HPD8126A </v>
          </cell>
          <cell r="H283">
            <v>16955</v>
          </cell>
          <cell r="I283">
            <v>1</v>
          </cell>
          <cell r="J283">
            <v>16955</v>
          </cell>
        </row>
        <row r="284">
          <cell r="B284" t="str">
            <v>ООС-0104-000208</v>
          </cell>
          <cell r="C284" t="str">
            <v>Сис. Блок Vei7</v>
          </cell>
          <cell r="D284">
            <v>36636</v>
          </cell>
          <cell r="E284">
            <v>5280.92</v>
          </cell>
          <cell r="F284">
            <v>1</v>
          </cell>
          <cell r="G284" t="str">
            <v xml:space="preserve">HP Vectra VEi7 DT C466-32M4.3G/S95      HPD8126A </v>
          </cell>
          <cell r="H284">
            <v>16955</v>
          </cell>
          <cell r="I284">
            <v>1</v>
          </cell>
          <cell r="J284">
            <v>16955</v>
          </cell>
        </row>
        <row r="285">
          <cell r="B285" t="str">
            <v>ООС-0104-000209</v>
          </cell>
          <cell r="C285" t="str">
            <v>Сис. Блок Vei7</v>
          </cell>
          <cell r="D285">
            <v>36636</v>
          </cell>
          <cell r="E285">
            <v>5280.92</v>
          </cell>
          <cell r="F285">
            <v>1</v>
          </cell>
          <cell r="G285" t="str">
            <v xml:space="preserve">HP Vectra VEi7 DT C466-32M4.3G/S95      HPD8126A </v>
          </cell>
          <cell r="H285">
            <v>16955</v>
          </cell>
          <cell r="I285">
            <v>1</v>
          </cell>
          <cell r="J285">
            <v>16955</v>
          </cell>
        </row>
        <row r="286">
          <cell r="B286" t="str">
            <v>ООС-0104-000210</v>
          </cell>
          <cell r="C286" t="str">
            <v>Сис. Блок Vei7</v>
          </cell>
          <cell r="D286">
            <v>36636</v>
          </cell>
          <cell r="E286">
            <v>5280.92</v>
          </cell>
          <cell r="F286">
            <v>1</v>
          </cell>
          <cell r="G286" t="str">
            <v xml:space="preserve">HP Vectra VEi7 DT C466-32M4.3G/S95      HPD8126A </v>
          </cell>
          <cell r="H286">
            <v>16955</v>
          </cell>
          <cell r="I286">
            <v>1</v>
          </cell>
          <cell r="J286">
            <v>16955</v>
          </cell>
        </row>
        <row r="287">
          <cell r="B287" t="str">
            <v>ООС-0104-000211</v>
          </cell>
          <cell r="C287" t="str">
            <v>Сис. Блок Vei7</v>
          </cell>
          <cell r="D287">
            <v>36636</v>
          </cell>
          <cell r="E287">
            <v>5280.92</v>
          </cell>
          <cell r="F287">
            <v>1</v>
          </cell>
          <cell r="G287" t="str">
            <v xml:space="preserve">HP Vectra VEi7 DT C466-32M4.3G/S95      HPD8126A </v>
          </cell>
          <cell r="H287">
            <v>16955</v>
          </cell>
          <cell r="I287">
            <v>1</v>
          </cell>
          <cell r="J287">
            <v>16955</v>
          </cell>
        </row>
        <row r="288">
          <cell r="B288" t="str">
            <v>ООС-0104-000327</v>
          </cell>
          <cell r="C288" t="str">
            <v>Сис. Блок HP VEi7</v>
          </cell>
          <cell r="D288">
            <v>36808</v>
          </cell>
          <cell r="E288">
            <v>5139.76</v>
          </cell>
          <cell r="F288">
            <v>1</v>
          </cell>
          <cell r="G288" t="str">
            <v xml:space="preserve">HP Vectra VEi7 DT C466-32M4.3G/S95      HPD8126A </v>
          </cell>
          <cell r="H288">
            <v>16955</v>
          </cell>
          <cell r="I288">
            <v>1</v>
          </cell>
          <cell r="J288">
            <v>16955</v>
          </cell>
        </row>
        <row r="289">
          <cell r="B289" t="str">
            <v>ООС-0104-000328</v>
          </cell>
          <cell r="C289" t="str">
            <v>Сис.блок+монит. HPD8897</v>
          </cell>
          <cell r="D289">
            <v>36809</v>
          </cell>
          <cell r="E289">
            <v>4918.46</v>
          </cell>
          <cell r="F289">
            <v>1</v>
          </cell>
          <cell r="G289" t="str">
            <v xml:space="preserve">Celeron/900 MHz/64 Mb/20000 Mb/SVGA Hewlett-Packard ПК HP Vectra VL400, Cel 900MHz, 64MB PC133 SDRAM, 20GB, AGP и ViewSonic VP 140 TCO'99 </v>
          </cell>
          <cell r="H289">
            <v>17190</v>
          </cell>
          <cell r="I289">
            <v>1</v>
          </cell>
          <cell r="J289">
            <v>17190</v>
          </cell>
        </row>
        <row r="290">
          <cell r="B290" t="str">
            <v>ООС-0104-000329</v>
          </cell>
          <cell r="C290" t="str">
            <v>Сис. Блок Vei7</v>
          </cell>
          <cell r="D290">
            <v>36809</v>
          </cell>
          <cell r="E290">
            <v>4918.46</v>
          </cell>
          <cell r="F290">
            <v>1</v>
          </cell>
          <cell r="G290" t="str">
            <v xml:space="preserve">HP Vectra VEi7 DT C466-32M4.3G/S95      HPD8126A </v>
          </cell>
          <cell r="H290">
            <v>16955</v>
          </cell>
          <cell r="I290">
            <v>1</v>
          </cell>
          <cell r="J290">
            <v>16955</v>
          </cell>
        </row>
        <row r="291">
          <cell r="B291" t="str">
            <v>ООС-0104-000330</v>
          </cell>
          <cell r="C291" t="str">
            <v>Сис.блок Brio BA</v>
          </cell>
          <cell r="D291">
            <v>36809</v>
          </cell>
          <cell r="E291">
            <v>4918.46</v>
          </cell>
          <cell r="F291">
            <v>1</v>
          </cell>
          <cell r="G291" t="str">
            <v>Hewlett-Packard (HP) P1711A Системный блок HP Brio BA 410 P1711A P3-733 64MB 10GB CD-48x W98Engl</v>
          </cell>
          <cell r="H291">
            <v>5879</v>
          </cell>
          <cell r="I291">
            <v>1</v>
          </cell>
          <cell r="J291">
            <v>5879</v>
          </cell>
        </row>
        <row r="292">
          <cell r="B292" t="str">
            <v>ООС-0104-000335</v>
          </cell>
          <cell r="C292" t="str">
            <v>Сис. Блок VEi7</v>
          </cell>
          <cell r="D292">
            <v>36852</v>
          </cell>
          <cell r="E292">
            <v>4969.6899999999996</v>
          </cell>
          <cell r="F292">
            <v>1</v>
          </cell>
          <cell r="G292" t="str">
            <v xml:space="preserve">HP Vectra VEi7 DT C466-32M4.3G/S95      HPD8126A </v>
          </cell>
          <cell r="H292">
            <v>16955</v>
          </cell>
          <cell r="I292">
            <v>1</v>
          </cell>
          <cell r="J292">
            <v>16955</v>
          </cell>
        </row>
        <row r="293">
          <cell r="B293" t="str">
            <v>ООС-0104-000336</v>
          </cell>
          <cell r="C293" t="str">
            <v>Сис. Блок VEi7</v>
          </cell>
          <cell r="D293">
            <v>36843</v>
          </cell>
          <cell r="E293">
            <v>5414.74</v>
          </cell>
          <cell r="F293">
            <v>1</v>
          </cell>
          <cell r="G293" t="str">
            <v xml:space="preserve">HP Vectra VEi7 DT C466-32M4.3G/S95      HPD8126A </v>
          </cell>
          <cell r="H293">
            <v>16955</v>
          </cell>
          <cell r="I293">
            <v>1</v>
          </cell>
          <cell r="J293">
            <v>16955</v>
          </cell>
        </row>
        <row r="294">
          <cell r="B294" t="str">
            <v>ООС-0104-000337</v>
          </cell>
          <cell r="C294" t="str">
            <v>Сис. Блок+мон. Филипсс</v>
          </cell>
          <cell r="D294">
            <v>36831</v>
          </cell>
          <cell r="E294">
            <v>5106.8599999999997</v>
          </cell>
          <cell r="F294">
            <v>1</v>
          </cell>
          <cell r="G294" t="str">
            <v xml:space="preserve">Celeron/900 MHz/64 Mb/20000 Mb/SVGA Hewlett-Packard ПК HP Vectra VL400, Cel 900MHz, 64MB PC133 SDRAM, 20GB, AGP и ViewSonic VP 140 TCO'99 </v>
          </cell>
          <cell r="H294">
            <v>17190</v>
          </cell>
          <cell r="I294">
            <v>1</v>
          </cell>
          <cell r="J294">
            <v>17190</v>
          </cell>
        </row>
        <row r="295">
          <cell r="B295" t="str">
            <v>ООС-0104-000338</v>
          </cell>
          <cell r="C295" t="str">
            <v>Сис. Блок VEi7</v>
          </cell>
          <cell r="D295">
            <v>36831</v>
          </cell>
          <cell r="E295">
            <v>5106.8599999999997</v>
          </cell>
          <cell r="F295">
            <v>1</v>
          </cell>
          <cell r="G295" t="str">
            <v xml:space="preserve">HP Vectra VEi7 DT C466-32M4.3G/S95      HPD8126A </v>
          </cell>
          <cell r="H295">
            <v>16955</v>
          </cell>
          <cell r="I295">
            <v>1</v>
          </cell>
          <cell r="J295">
            <v>16955</v>
          </cell>
        </row>
        <row r="296">
          <cell r="B296" t="str">
            <v>ООС-0104-000339</v>
          </cell>
          <cell r="C296" t="str">
            <v>Сис. Блок VEi7</v>
          </cell>
          <cell r="D296">
            <v>36831</v>
          </cell>
          <cell r="E296">
            <v>5106.8599999999997</v>
          </cell>
          <cell r="F296">
            <v>1</v>
          </cell>
          <cell r="G296" t="str">
            <v xml:space="preserve">HP Vectra VEi7 DT C466-32M4.3G/S95      HPD8126A </v>
          </cell>
          <cell r="H296">
            <v>16955</v>
          </cell>
          <cell r="I296">
            <v>1</v>
          </cell>
          <cell r="J296">
            <v>16955</v>
          </cell>
        </row>
        <row r="297">
          <cell r="B297" t="str">
            <v>ООС-0104-000340</v>
          </cell>
          <cell r="C297" t="str">
            <v>Сис. Блок VL400</v>
          </cell>
          <cell r="D297">
            <v>36852</v>
          </cell>
          <cell r="E297">
            <v>5347.15</v>
          </cell>
          <cell r="F297">
            <v>1</v>
          </cell>
          <cell r="G297" t="str">
            <v>Celeron/900 MHz/64 Mb/20000 Mb/SVGA Hewlett-Packard ПК HP Vectra VL400, Cel 900MHz, 64MB PC133 SDRAM, 20GB, AGP</v>
          </cell>
          <cell r="H297">
            <v>11076</v>
          </cell>
          <cell r="I297">
            <v>1</v>
          </cell>
          <cell r="J297">
            <v>11076</v>
          </cell>
        </row>
        <row r="298">
          <cell r="B298" t="str">
            <v>ООС-0104-000766</v>
          </cell>
          <cell r="C298" t="str">
            <v>Пректор OP9000Ahhs</v>
          </cell>
          <cell r="D298">
            <v>37653</v>
          </cell>
          <cell r="E298">
            <v>5875.31</v>
          </cell>
          <cell r="F298">
            <v>1</v>
          </cell>
          <cell r="G298" t="str">
            <v xml:space="preserve">Проектор EPSON EMP-9100 part№ V11H035040 </v>
          </cell>
          <cell r="H298">
            <v>12711</v>
          </cell>
          <cell r="I298">
            <v>1</v>
          </cell>
          <cell r="J298">
            <v>12711</v>
          </cell>
        </row>
        <row r="299">
          <cell r="B299" t="str">
            <v>ООС-0104-000769</v>
          </cell>
          <cell r="C299" t="str">
            <v>Сис.Блок+монит. D8897VL</v>
          </cell>
          <cell r="D299">
            <v>37653</v>
          </cell>
          <cell r="E299">
            <v>10123.59</v>
          </cell>
          <cell r="F299">
            <v>1</v>
          </cell>
          <cell r="G299" t="str">
            <v xml:space="preserve">Celeron/900 MHz/64 Mb/20000 Mb/SVGA Hewlett-Packard ПК HP Vectra VL400, Cel 900MHz, 64MB PC133 SDRAM, 20GB, AGP и ViewSonic VP 140 TCO'99 </v>
          </cell>
          <cell r="H299">
            <v>17190</v>
          </cell>
          <cell r="I299">
            <v>1</v>
          </cell>
          <cell r="J299">
            <v>17190</v>
          </cell>
        </row>
        <row r="300">
          <cell r="B300" t="str">
            <v>ООС-0104-000770</v>
          </cell>
          <cell r="C300" t="str">
            <v>Сис. Блок HPD8897</v>
          </cell>
          <cell r="D300">
            <v>37653</v>
          </cell>
          <cell r="E300">
            <v>10123.59</v>
          </cell>
          <cell r="F300">
            <v>1</v>
          </cell>
          <cell r="G300" t="str">
            <v>Vectra VEi7 HPD8121A</v>
          </cell>
          <cell r="H300">
            <v>15120</v>
          </cell>
          <cell r="I300">
            <v>1</v>
          </cell>
          <cell r="J300">
            <v>15120</v>
          </cell>
        </row>
        <row r="301">
          <cell r="B301" t="str">
            <v>ООС-0104-000771</v>
          </cell>
          <cell r="C301" t="str">
            <v>Сис. Блок HPD8897</v>
          </cell>
          <cell r="D301">
            <v>37653</v>
          </cell>
          <cell r="E301">
            <v>10123.59</v>
          </cell>
          <cell r="F301">
            <v>1</v>
          </cell>
          <cell r="G301" t="str">
            <v>Vectra VEi7 HPD8121A</v>
          </cell>
          <cell r="H301">
            <v>15120</v>
          </cell>
          <cell r="I301">
            <v>1</v>
          </cell>
          <cell r="J301">
            <v>15120</v>
          </cell>
        </row>
        <row r="302">
          <cell r="B302" t="str">
            <v>ООС-0104-000772</v>
          </cell>
          <cell r="C302" t="str">
            <v>Сис. Блок HPD8897</v>
          </cell>
          <cell r="D302">
            <v>37653</v>
          </cell>
          <cell r="E302">
            <v>17312.189999999999</v>
          </cell>
          <cell r="F302">
            <v>1</v>
          </cell>
          <cell r="G302" t="str">
            <v>Vectra VEi7 HPD8121A</v>
          </cell>
          <cell r="H302">
            <v>15120</v>
          </cell>
          <cell r="I302">
            <v>1</v>
          </cell>
          <cell r="J302">
            <v>15120</v>
          </cell>
        </row>
        <row r="303">
          <cell r="B303" t="str">
            <v>ООС-0106-000266</v>
          </cell>
          <cell r="C303" t="str">
            <v>Автомобиль ВАЗ-21043</v>
          </cell>
          <cell r="D303">
            <v>36678</v>
          </cell>
          <cell r="E303">
            <v>14227.2</v>
          </cell>
          <cell r="F303">
            <v>1</v>
          </cell>
          <cell r="G303" t="str">
            <v>ВАЗ-21043-01-010</v>
          </cell>
          <cell r="H303">
            <v>95763</v>
          </cell>
          <cell r="I303">
            <v>1</v>
          </cell>
          <cell r="J303">
            <v>95763</v>
          </cell>
        </row>
        <row r="304">
          <cell r="B304" t="str">
            <v>ООС-0104-000635</v>
          </cell>
          <cell r="C304" t="str">
            <v>Сис. Блок+монит. VL400</v>
          </cell>
          <cell r="D304">
            <v>37561</v>
          </cell>
          <cell r="E304">
            <v>16865.43</v>
          </cell>
          <cell r="F304">
            <v>2</v>
          </cell>
          <cell r="G304" t="str">
            <v xml:space="preserve">Celeron/900 MHz/64 Mb/20000 Mb/SVGA Hewlett-Packard ПК HP Vectra VL400, Cel 900MHz, 64MB PC133 SDRAM, 20GB, AGP и ViewSonic VP 140 TCO'99 </v>
          </cell>
          <cell r="H304">
            <v>17190</v>
          </cell>
          <cell r="I304">
            <v>1</v>
          </cell>
          <cell r="J304">
            <v>34380</v>
          </cell>
        </row>
        <row r="305">
          <cell r="B305" t="str">
            <v>ООС-0104-000642</v>
          </cell>
          <cell r="C305" t="str">
            <v>Сис. Блок+монит. HP</v>
          </cell>
          <cell r="D305">
            <v>37561</v>
          </cell>
          <cell r="E305">
            <v>4344.57</v>
          </cell>
          <cell r="F305">
            <v>1</v>
          </cell>
          <cell r="G305" t="str">
            <v xml:space="preserve">Celeron/900 MHz/64 Mb/20000 Mb/SVGA Hewlett-Packard ПК HP Vectra VL400, Cel 900MHz, 64MB PC133 SDRAM, 20GB, AGP и Монитор 15'' ViewSonic E651 </v>
          </cell>
          <cell r="H305">
            <v>15097</v>
          </cell>
          <cell r="I305">
            <v>1</v>
          </cell>
          <cell r="J305">
            <v>15097</v>
          </cell>
        </row>
        <row r="306">
          <cell r="B306" t="str">
            <v>ООС-0104-000643</v>
          </cell>
          <cell r="C306" t="str">
            <v>Сис.блок+монит. P2</v>
          </cell>
          <cell r="D306">
            <v>37561</v>
          </cell>
          <cell r="E306">
            <v>4178.93</v>
          </cell>
          <cell r="F306">
            <v>1</v>
          </cell>
          <cell r="G306" t="str">
            <v xml:space="preserve">Celeron/900 MHz/64 Mb/20000 Mb/SVGA Hewlett-Packard ПК HP Vectra VL400, Cel 900MHz, 64MB PC133 SDRAM, 20GB, AGP и Монитор 15'' ViewSonic E651 </v>
          </cell>
          <cell r="H306">
            <v>15097</v>
          </cell>
          <cell r="I306">
            <v>1</v>
          </cell>
          <cell r="J306">
            <v>15097</v>
          </cell>
        </row>
        <row r="307">
          <cell r="B307" t="str">
            <v>ООС-0104-001004</v>
          </cell>
          <cell r="C307" t="str">
            <v>Уппаков. Аппарат 405/PS</v>
          </cell>
          <cell r="D307">
            <v>38107</v>
          </cell>
          <cell r="E307">
            <v>84698.21</v>
          </cell>
          <cell r="F307">
            <v>1</v>
          </cell>
          <cell r="G307" t="str">
            <v xml:space="preserve">Упаковочный полуавтомат Minipack FM-76 (Италия) </v>
          </cell>
          <cell r="H307">
            <v>10695</v>
          </cell>
          <cell r="I307">
            <v>1</v>
          </cell>
          <cell r="J307">
            <v>10695</v>
          </cell>
        </row>
        <row r="308">
          <cell r="B308" t="str">
            <v>ООС-0104-000169</v>
          </cell>
          <cell r="C308" t="str">
            <v>Сис. Блок Vei7</v>
          </cell>
          <cell r="D308">
            <v>36551</v>
          </cell>
          <cell r="E308">
            <v>3439.51</v>
          </cell>
          <cell r="F308">
            <v>1</v>
          </cell>
          <cell r="G308" t="str">
            <v xml:space="preserve">HP Vectra VEi7 DT C466-32M4.3G/S95      HPD8126A </v>
          </cell>
          <cell r="H308">
            <v>16955</v>
          </cell>
          <cell r="I308">
            <v>1</v>
          </cell>
          <cell r="J308">
            <v>16955</v>
          </cell>
        </row>
        <row r="309">
          <cell r="B309" t="str">
            <v>ООС-0104-000197</v>
          </cell>
          <cell r="C309" t="str">
            <v>Сис. Блок Vei8</v>
          </cell>
          <cell r="D309">
            <v>36628</v>
          </cell>
          <cell r="E309">
            <v>6284.94</v>
          </cell>
          <cell r="F309">
            <v>1</v>
          </cell>
          <cell r="G309" t="str">
            <v xml:space="preserve">DT P450-64Mb/4.3Gb/MATROX G200 AGP 8mB/3Com Lan      HPD8172N </v>
          </cell>
          <cell r="H309">
            <v>24009</v>
          </cell>
          <cell r="I309">
            <v>1</v>
          </cell>
          <cell r="J309">
            <v>24009</v>
          </cell>
        </row>
        <row r="310">
          <cell r="B310" t="str">
            <v>ООС-0104-000996</v>
          </cell>
          <cell r="C310" t="str">
            <v>Подьемник лифтер TM10</v>
          </cell>
          <cell r="D310">
            <v>38077</v>
          </cell>
          <cell r="E310">
            <v>68139.67</v>
          </cell>
          <cell r="F310">
            <v>1</v>
          </cell>
          <cell r="G310" t="str">
            <v xml:space="preserve">Подьемник гидравлический канавный,навесной г/п 10 тн </v>
          </cell>
          <cell r="H310">
            <v>41271</v>
          </cell>
          <cell r="I310">
            <v>1</v>
          </cell>
          <cell r="J310">
            <v>41271</v>
          </cell>
        </row>
        <row r="311">
          <cell r="B311" t="str">
            <v>ООС-0104-001003</v>
          </cell>
          <cell r="C311" t="str">
            <v>Пресс для Rptoplat</v>
          </cell>
          <cell r="D311">
            <v>38107</v>
          </cell>
          <cell r="E311">
            <v>17399.509999999998</v>
          </cell>
          <cell r="F311">
            <v>1</v>
          </cell>
          <cell r="G311" t="str">
            <v>Пресс  HP-800A Space Lab Enterprises Ltd</v>
          </cell>
          <cell r="H311">
            <v>15991</v>
          </cell>
          <cell r="I311">
            <v>1</v>
          </cell>
          <cell r="J311">
            <v>15991</v>
          </cell>
        </row>
        <row r="312">
          <cell r="B312" t="str">
            <v>ООС-0105-000526</v>
          </cell>
          <cell r="C312" t="str">
            <v>Стеллажи</v>
          </cell>
          <cell r="D312">
            <v>38077</v>
          </cell>
          <cell r="E312">
            <v>132089.93</v>
          </cell>
          <cell r="F312">
            <v>1</v>
          </cell>
          <cell r="G312" t="str">
            <v xml:space="preserve">Стеллаж WIKO-145 двусторонн. 900*500*1450 (1*300мм,1*400) х 2 </v>
          </cell>
          <cell r="H312">
            <v>117580</v>
          </cell>
          <cell r="I312">
            <v>1</v>
          </cell>
          <cell r="J312">
            <v>117580</v>
          </cell>
        </row>
        <row r="313">
          <cell r="B313" t="str">
            <v>ООС-0105-000527</v>
          </cell>
          <cell r="C313" t="str">
            <v>Стеллажи</v>
          </cell>
          <cell r="D313">
            <v>38077</v>
          </cell>
          <cell r="E313">
            <v>54972.23</v>
          </cell>
          <cell r="F313">
            <v>1</v>
          </cell>
          <cell r="G313" t="str">
            <v xml:space="preserve">Стеллаж WIKO-195 одностор. 900*500*1950,(1*300мм.,2*400мм) </v>
          </cell>
          <cell r="H313">
            <v>70547</v>
          </cell>
          <cell r="I313">
            <v>1</v>
          </cell>
          <cell r="J313">
            <v>70547</v>
          </cell>
        </row>
        <row r="314">
          <cell r="B314" t="str">
            <v>ООС-0104-000413</v>
          </cell>
          <cell r="C314" t="str">
            <v>Батарейка SUPS1000</v>
          </cell>
          <cell r="D314">
            <v>36979</v>
          </cell>
          <cell r="E314">
            <v>0</v>
          </cell>
          <cell r="F314">
            <v>1</v>
          </cell>
          <cell r="G314" t="str">
            <v>SU1000XLINET</v>
          </cell>
          <cell r="H314">
            <v>4421</v>
          </cell>
          <cell r="I314">
            <v>1</v>
          </cell>
          <cell r="J314">
            <v>4421</v>
          </cell>
        </row>
        <row r="315">
          <cell r="B315" t="str">
            <v>ООС-0104-000414</v>
          </cell>
          <cell r="C315" t="str">
            <v>Батарейка SUPS1000</v>
          </cell>
          <cell r="D315">
            <v>36979</v>
          </cell>
          <cell r="E315">
            <v>0</v>
          </cell>
          <cell r="F315">
            <v>1</v>
          </cell>
          <cell r="G315" t="str">
            <v>SU1000XLINET</v>
          </cell>
          <cell r="H315">
            <v>4421</v>
          </cell>
          <cell r="I315">
            <v>1</v>
          </cell>
          <cell r="J315">
            <v>4421</v>
          </cell>
        </row>
        <row r="316">
          <cell r="B316" t="str">
            <v>ООС-0104-000452</v>
          </cell>
          <cell r="C316" t="str">
            <v>Тел. Panasonic KT-ST15</v>
          </cell>
          <cell r="D316">
            <v>37165</v>
          </cell>
          <cell r="E316">
            <v>0</v>
          </cell>
          <cell r="F316">
            <v>1</v>
          </cell>
          <cell r="G316" t="str">
            <v xml:space="preserve">Телефон Panasonic KX-TCD512RU </v>
          </cell>
          <cell r="H316">
            <v>5096</v>
          </cell>
          <cell r="I316">
            <v>1</v>
          </cell>
          <cell r="J316">
            <v>5096</v>
          </cell>
        </row>
        <row r="317">
          <cell r="B317" t="str">
            <v>ООС-0104-000453</v>
          </cell>
          <cell r="C317" t="str">
            <v>Тел. Panasonic KT-ST15</v>
          </cell>
          <cell r="D317">
            <v>37165</v>
          </cell>
          <cell r="E317">
            <v>0</v>
          </cell>
          <cell r="F317">
            <v>1</v>
          </cell>
          <cell r="G317" t="str">
            <v xml:space="preserve">Телефон Panasonic KX-TCD512RU </v>
          </cell>
          <cell r="H317">
            <v>5096</v>
          </cell>
          <cell r="I317">
            <v>1</v>
          </cell>
          <cell r="J317">
            <v>5096</v>
          </cell>
        </row>
        <row r="318">
          <cell r="B318" t="str">
            <v>ООС-0104-000454</v>
          </cell>
          <cell r="C318" t="str">
            <v>Тел. Panasonic KT-ST15</v>
          </cell>
          <cell r="D318">
            <v>37165</v>
          </cell>
          <cell r="E318">
            <v>0</v>
          </cell>
          <cell r="F318">
            <v>1</v>
          </cell>
          <cell r="G318" t="str">
            <v xml:space="preserve">Телефон Panasonic KX-TCD512RU </v>
          </cell>
          <cell r="H318">
            <v>5096</v>
          </cell>
          <cell r="I318">
            <v>1</v>
          </cell>
          <cell r="J318">
            <v>5096</v>
          </cell>
        </row>
        <row r="319">
          <cell r="B319" t="str">
            <v>ООС-0104-000455</v>
          </cell>
          <cell r="C319" t="str">
            <v>Тел. Panasonic KT-ST15</v>
          </cell>
          <cell r="D319">
            <v>37165</v>
          </cell>
          <cell r="E319">
            <v>0</v>
          </cell>
          <cell r="F319">
            <v>1</v>
          </cell>
          <cell r="G319" t="str">
            <v xml:space="preserve">Телефон Panasonic KX-TCD512RU </v>
          </cell>
          <cell r="H319">
            <v>5096</v>
          </cell>
          <cell r="I319">
            <v>1</v>
          </cell>
          <cell r="J319">
            <v>5096</v>
          </cell>
        </row>
        <row r="320">
          <cell r="B320" t="str">
            <v>ООС-0104-000456</v>
          </cell>
          <cell r="C320" t="str">
            <v>Тел. Panasonic KT-ST15</v>
          </cell>
          <cell r="D320">
            <v>37165</v>
          </cell>
          <cell r="E320">
            <v>0</v>
          </cell>
          <cell r="F320">
            <v>1</v>
          </cell>
          <cell r="G320" t="str">
            <v xml:space="preserve">Телефон Panasonic KX-TCD512RU </v>
          </cell>
          <cell r="H320">
            <v>5096</v>
          </cell>
          <cell r="I320">
            <v>1</v>
          </cell>
          <cell r="J320">
            <v>5096</v>
          </cell>
        </row>
        <row r="321">
          <cell r="B321" t="str">
            <v>ООС-0104-000457</v>
          </cell>
          <cell r="C321" t="str">
            <v>Тел. Panasonic KT-ST15</v>
          </cell>
          <cell r="D321">
            <v>37165</v>
          </cell>
          <cell r="E321">
            <v>0</v>
          </cell>
          <cell r="F321">
            <v>1</v>
          </cell>
          <cell r="G321" t="str">
            <v xml:space="preserve">Телефон Panasonic KX-TCD512RU </v>
          </cell>
          <cell r="H321">
            <v>5096</v>
          </cell>
          <cell r="I321">
            <v>1</v>
          </cell>
          <cell r="J321">
            <v>5096</v>
          </cell>
        </row>
        <row r="322">
          <cell r="B322" t="str">
            <v>ООС-0104-000657</v>
          </cell>
          <cell r="C322" t="str">
            <v>Принтер HPLJ4050</v>
          </cell>
          <cell r="D322">
            <v>37622</v>
          </cell>
          <cell r="E322">
            <v>21392.58</v>
          </cell>
          <cell r="F322">
            <v>1</v>
          </cell>
          <cell r="G322" t="str">
            <v xml:space="preserve">HP LaserJet 4050N (C4253A) A4 16 стр/ мин сетевой 1200dpi </v>
          </cell>
          <cell r="H322">
            <v>44522</v>
          </cell>
          <cell r="I322">
            <v>1</v>
          </cell>
          <cell r="J322">
            <v>44522</v>
          </cell>
        </row>
        <row r="323">
          <cell r="B323" t="str">
            <v>ООС-0104-000669</v>
          </cell>
          <cell r="C323" t="str">
            <v>Монитор HP 55</v>
          </cell>
          <cell r="D323">
            <v>37622</v>
          </cell>
          <cell r="E323">
            <v>0</v>
          </cell>
          <cell r="F323">
            <v>3</v>
          </cell>
          <cell r="G323" t="str">
            <v xml:space="preserve">Монитор 15'' ViewSonic E651 </v>
          </cell>
          <cell r="H323">
            <v>4021</v>
          </cell>
          <cell r="I323">
            <v>1</v>
          </cell>
          <cell r="J323">
            <v>12063</v>
          </cell>
        </row>
        <row r="324">
          <cell r="B324" t="str">
            <v>ООС-0104-000694</v>
          </cell>
          <cell r="C324" t="str">
            <v>Сис. Блок VL400</v>
          </cell>
          <cell r="D324">
            <v>37622</v>
          </cell>
          <cell r="E324">
            <v>13914.36</v>
          </cell>
          <cell r="F324">
            <v>1</v>
          </cell>
          <cell r="G324" t="str">
            <v>Celeron/900 MHz/64 Mb/20000 Mb/SVGA Hewlett-Packard ПК HP Vectra VL400, Cel 900MHz, 64MB PC133 SDRAM, 20GB, AGP</v>
          </cell>
          <cell r="H324">
            <v>11076</v>
          </cell>
          <cell r="I324">
            <v>1</v>
          </cell>
          <cell r="J324">
            <v>11076</v>
          </cell>
        </row>
        <row r="325">
          <cell r="B325" t="str">
            <v>ООС-0104-000946</v>
          </cell>
          <cell r="C325" t="str">
            <v xml:space="preserve">Сервер HP LH </v>
          </cell>
          <cell r="D325">
            <v>38034</v>
          </cell>
          <cell r="E325">
            <v>24861.64</v>
          </cell>
          <cell r="F325">
            <v>1</v>
          </cell>
          <cell r="G325" t="str">
            <v xml:space="preserve">HP SP 1Y PWAR 24x7 Netserver LH/LT6000 </v>
          </cell>
          <cell r="H325">
            <v>34615</v>
          </cell>
          <cell r="I325">
            <v>1</v>
          </cell>
          <cell r="J325">
            <v>34615</v>
          </cell>
        </row>
        <row r="326">
          <cell r="B326" t="str">
            <v>ООС-0104-000969</v>
          </cell>
          <cell r="C326" t="str">
            <v>Сис. Блок Vei8</v>
          </cell>
          <cell r="D326">
            <v>38034</v>
          </cell>
          <cell r="E326">
            <v>13559.65</v>
          </cell>
          <cell r="F326">
            <v>1</v>
          </cell>
          <cell r="G326" t="str">
            <v xml:space="preserve">DT P450-64Mb/4.3Gb/MATROX G200 AGP 8mB/3Com Lan      HPD8172N </v>
          </cell>
          <cell r="H326">
            <v>24009</v>
          </cell>
          <cell r="I326">
            <v>1</v>
          </cell>
          <cell r="J326">
            <v>24009</v>
          </cell>
        </row>
        <row r="327">
          <cell r="B327" t="str">
            <v>ООС-0104-000970</v>
          </cell>
          <cell r="C327" t="str">
            <v>Сис. Блок HPE-ps40</v>
          </cell>
          <cell r="D327">
            <v>38034</v>
          </cell>
          <cell r="E327">
            <v>13559.65</v>
          </cell>
          <cell r="F327">
            <v>1</v>
          </cell>
          <cell r="G327" t="str">
            <v xml:space="preserve">HP Vectra VEi7 DT C466-32M4.3G/S95      HPD8126A </v>
          </cell>
          <cell r="H327">
            <v>16955</v>
          </cell>
          <cell r="I327">
            <v>1</v>
          </cell>
          <cell r="J327">
            <v>16955</v>
          </cell>
        </row>
        <row r="328">
          <cell r="B328" t="str">
            <v>ООС-0104-000971</v>
          </cell>
          <cell r="C328" t="str">
            <v>Сис. Блок  HP Ve5</v>
          </cell>
          <cell r="D328">
            <v>38034</v>
          </cell>
          <cell r="E328">
            <v>13559.65</v>
          </cell>
          <cell r="F328">
            <v>1</v>
          </cell>
          <cell r="G328" t="str">
            <v xml:space="preserve">HP Vectra VEi7 DT C466-32M4.3G/S95      HPD8126A </v>
          </cell>
          <cell r="H328">
            <v>16955</v>
          </cell>
          <cell r="I328">
            <v>1</v>
          </cell>
          <cell r="J328">
            <v>16955</v>
          </cell>
        </row>
        <row r="329">
          <cell r="B329" t="str">
            <v>ООС-0104-000972</v>
          </cell>
          <cell r="C329" t="str">
            <v>Сис. Блок HP VE5D5602</v>
          </cell>
          <cell r="D329">
            <v>38034</v>
          </cell>
          <cell r="E329">
            <v>13559.65</v>
          </cell>
          <cell r="F329">
            <v>1</v>
          </cell>
          <cell r="G329" t="str">
            <v xml:space="preserve">HP Vectra VEi7 DT C466-32M4.3G/S95      HPD8126A </v>
          </cell>
          <cell r="H329">
            <v>16955</v>
          </cell>
          <cell r="I329">
            <v>1</v>
          </cell>
          <cell r="J329">
            <v>16955</v>
          </cell>
        </row>
        <row r="330">
          <cell r="B330" t="str">
            <v>ООС-0104-000973</v>
          </cell>
          <cell r="C330" t="str">
            <v>Сис. Блок HPVE5D5602</v>
          </cell>
          <cell r="D330">
            <v>38034</v>
          </cell>
          <cell r="E330">
            <v>13559.65</v>
          </cell>
          <cell r="F330">
            <v>1</v>
          </cell>
          <cell r="G330" t="str">
            <v xml:space="preserve">HP Vectra VEi7 DT C466-32M4.3G/S95      HPD8126A </v>
          </cell>
          <cell r="H330">
            <v>16955</v>
          </cell>
          <cell r="I330">
            <v>1</v>
          </cell>
          <cell r="J330">
            <v>16955</v>
          </cell>
        </row>
        <row r="331">
          <cell r="B331" t="str">
            <v>ООС-0104-000974</v>
          </cell>
          <cell r="C331" t="str">
            <v>Сис. Блок VI410</v>
          </cell>
          <cell r="D331">
            <v>38034</v>
          </cell>
          <cell r="E331">
            <v>13559.65</v>
          </cell>
          <cell r="F331">
            <v>1</v>
          </cell>
          <cell r="G331" t="str">
            <v>Pentium 4/1600 MHz/256 Mb/20000 Mb/SVGA Hewlett-Packard HP Vectra VL410 DT P4-1.6GHz 256M20G CDLAN W98 (P5974A</v>
          </cell>
          <cell r="H331">
            <v>19894</v>
          </cell>
          <cell r="I331">
            <v>1</v>
          </cell>
          <cell r="J331">
            <v>19894</v>
          </cell>
        </row>
        <row r="332">
          <cell r="B332" t="str">
            <v>ООС-0104-000975</v>
          </cell>
          <cell r="C332" t="str">
            <v>Сис. Блок VI410</v>
          </cell>
          <cell r="D332">
            <v>38034</v>
          </cell>
          <cell r="E332">
            <v>13559.65</v>
          </cell>
          <cell r="F332">
            <v>1</v>
          </cell>
          <cell r="G332" t="str">
            <v>Pentium 4/1600 MHz/256 Mb/20000 Mb/SVGA Hewlett-Packard HP Vectra VL410 DT P4-1.6GHz 256M20G CDLAN W98 (P5974A</v>
          </cell>
          <cell r="H332">
            <v>19894</v>
          </cell>
          <cell r="I332">
            <v>1</v>
          </cell>
          <cell r="J332">
            <v>19894</v>
          </cell>
        </row>
        <row r="333">
          <cell r="B333" t="str">
            <v>ООС-0104-000976</v>
          </cell>
          <cell r="C333" t="str">
            <v>Сис. Блок VE5 D5602</v>
          </cell>
          <cell r="D333">
            <v>38034</v>
          </cell>
          <cell r="E333">
            <v>13559.65</v>
          </cell>
          <cell r="F333">
            <v>1</v>
          </cell>
          <cell r="G333" t="str">
            <v xml:space="preserve">HP Vectra VEi7 DT C466-32M4.3G/S95      HPD8126A </v>
          </cell>
          <cell r="H333">
            <v>16955</v>
          </cell>
          <cell r="I333">
            <v>1</v>
          </cell>
          <cell r="J333">
            <v>16955</v>
          </cell>
        </row>
        <row r="334">
          <cell r="B334" t="str">
            <v>ООС-0104-000165</v>
          </cell>
          <cell r="C334" t="str">
            <v>Сет. Оборуд.Cisco1600</v>
          </cell>
          <cell r="D334">
            <v>36556</v>
          </cell>
          <cell r="E334">
            <v>3700.45</v>
          </cell>
          <cell r="F334">
            <v>1</v>
          </cell>
          <cell r="G334" t="str">
            <v xml:space="preserve">Маршрутизатор Cisco 1601, Ethernet/Serial Modular Router, 4M Flash/8M DRAM </v>
          </cell>
          <cell r="H334">
            <v>28196</v>
          </cell>
          <cell r="I334">
            <v>1</v>
          </cell>
          <cell r="J334">
            <v>28196</v>
          </cell>
        </row>
        <row r="335">
          <cell r="B335" t="str">
            <v>ООС-0104-000166</v>
          </cell>
          <cell r="C335" t="str">
            <v>Сет. Оборуд.Cisco1601</v>
          </cell>
          <cell r="D335">
            <v>36556</v>
          </cell>
          <cell r="E335">
            <v>3700.45</v>
          </cell>
          <cell r="F335">
            <v>1</v>
          </cell>
          <cell r="G335" t="str">
            <v xml:space="preserve">Маршрутизатор Cisco 1601, Ethernet/Serial Modular Router, 4M Flash/8M DRAM </v>
          </cell>
          <cell r="H335">
            <v>28196</v>
          </cell>
          <cell r="I335">
            <v>1</v>
          </cell>
          <cell r="J335">
            <v>28196</v>
          </cell>
        </row>
        <row r="336">
          <cell r="B336" t="str">
            <v>ООС-0104-000168</v>
          </cell>
          <cell r="C336" t="str">
            <v>Сис. Блок Vei7</v>
          </cell>
          <cell r="D336">
            <v>36551</v>
          </cell>
          <cell r="E336">
            <v>3439.51</v>
          </cell>
          <cell r="F336">
            <v>1</v>
          </cell>
          <cell r="G336" t="str">
            <v xml:space="preserve">HP Vectra VEi7 DT C466-32M4.3G/S95      HPD8126A </v>
          </cell>
          <cell r="H336">
            <v>16955</v>
          </cell>
          <cell r="I336">
            <v>1</v>
          </cell>
          <cell r="J336">
            <v>16955</v>
          </cell>
        </row>
        <row r="337">
          <cell r="B337" t="str">
            <v>ООС-0104-000172</v>
          </cell>
          <cell r="C337" t="str">
            <v>Копп. Апп. Rex-Rotaru2827</v>
          </cell>
          <cell r="D337">
            <v>36571</v>
          </cell>
          <cell r="E337">
            <v>22249.74</v>
          </cell>
          <cell r="F337">
            <v>1</v>
          </cell>
          <cell r="G337" t="str">
            <v>Rex Rotary 8612</v>
          </cell>
          <cell r="H337">
            <v>15820</v>
          </cell>
          <cell r="I337">
            <v>1</v>
          </cell>
          <cell r="J337">
            <v>15820</v>
          </cell>
        </row>
        <row r="338">
          <cell r="B338" t="str">
            <v>ООС-0104-000225</v>
          </cell>
          <cell r="C338" t="str">
            <v>Факс Panafax uf s2</v>
          </cell>
          <cell r="D338">
            <v>36683</v>
          </cell>
          <cell r="E338">
            <v>0</v>
          </cell>
          <cell r="F338">
            <v>1</v>
          </cell>
          <cell r="G338" t="str">
            <v xml:space="preserve">Факс Panasonic KX-FL503RU </v>
          </cell>
          <cell r="H338">
            <v>8729</v>
          </cell>
          <cell r="I338">
            <v>1</v>
          </cell>
          <cell r="J338">
            <v>8729</v>
          </cell>
        </row>
        <row r="339">
          <cell r="B339" t="str">
            <v>ООС-0104-000284</v>
          </cell>
          <cell r="C339" t="str">
            <v>Копп. Апп. Rex-Rotaru5110</v>
          </cell>
          <cell r="D339">
            <v>36711</v>
          </cell>
          <cell r="E339">
            <v>31416.6</v>
          </cell>
          <cell r="F339">
            <v>1</v>
          </cell>
          <cell r="G339" t="str">
            <v>Rex Rotary 8612</v>
          </cell>
          <cell r="H339">
            <v>15820</v>
          </cell>
          <cell r="I339">
            <v>1</v>
          </cell>
          <cell r="J339">
            <v>15820</v>
          </cell>
        </row>
        <row r="340">
          <cell r="B340" t="str">
            <v>ООС-0104-000289</v>
          </cell>
          <cell r="C340" t="str">
            <v>Сис. Блок Vei7</v>
          </cell>
          <cell r="D340">
            <v>36728</v>
          </cell>
          <cell r="E340">
            <v>4487.7</v>
          </cell>
          <cell r="F340">
            <v>1</v>
          </cell>
          <cell r="G340" t="str">
            <v xml:space="preserve">HP Vectra VEi7 DT C466-32M4.3G/S95      HPD8126A </v>
          </cell>
          <cell r="H340">
            <v>16955</v>
          </cell>
          <cell r="I340">
            <v>1</v>
          </cell>
          <cell r="J340">
            <v>16955</v>
          </cell>
        </row>
        <row r="341">
          <cell r="B341" t="str">
            <v>ООС-0104-000290</v>
          </cell>
          <cell r="C341" t="str">
            <v>Сис. Блок Vei7</v>
          </cell>
          <cell r="D341">
            <v>36728</v>
          </cell>
          <cell r="E341">
            <v>4487.7</v>
          </cell>
          <cell r="F341">
            <v>1</v>
          </cell>
          <cell r="G341" t="str">
            <v xml:space="preserve">HP Vectra VEi7 DT C466-32M4.3G/S95      HPD8126A </v>
          </cell>
          <cell r="H341">
            <v>16955</v>
          </cell>
          <cell r="I341">
            <v>1</v>
          </cell>
          <cell r="J341">
            <v>16955</v>
          </cell>
        </row>
        <row r="342">
          <cell r="B342" t="str">
            <v>ООС-0104-000291</v>
          </cell>
          <cell r="C342" t="str">
            <v>Сис. Блок Vei7</v>
          </cell>
          <cell r="D342">
            <v>36728</v>
          </cell>
          <cell r="E342">
            <v>4487.7</v>
          </cell>
          <cell r="F342">
            <v>1</v>
          </cell>
          <cell r="G342" t="str">
            <v xml:space="preserve">HP Vectra VEi7 DT C466-32M4.3G/S95      HPD8126A </v>
          </cell>
          <cell r="H342">
            <v>16955</v>
          </cell>
          <cell r="I342">
            <v>1</v>
          </cell>
          <cell r="J342">
            <v>16955</v>
          </cell>
        </row>
        <row r="343">
          <cell r="B343" t="str">
            <v>ООС-0104-000292</v>
          </cell>
          <cell r="C343" t="str">
            <v>Сис. Блок Vei7</v>
          </cell>
          <cell r="D343">
            <v>36728</v>
          </cell>
          <cell r="E343">
            <v>4487.7</v>
          </cell>
          <cell r="F343">
            <v>1</v>
          </cell>
          <cell r="G343" t="str">
            <v xml:space="preserve">HP Vectra VEi7 DT C466-32M4.3G/S95      HPD8126A </v>
          </cell>
          <cell r="H343">
            <v>16955</v>
          </cell>
          <cell r="I343">
            <v>1</v>
          </cell>
          <cell r="J343">
            <v>16955</v>
          </cell>
        </row>
        <row r="344">
          <cell r="B344" t="str">
            <v>ООС-0104-000293</v>
          </cell>
          <cell r="C344" t="str">
            <v>Сис. Блок Vei7</v>
          </cell>
          <cell r="D344">
            <v>36728</v>
          </cell>
          <cell r="E344">
            <v>4487.7</v>
          </cell>
          <cell r="F344">
            <v>1</v>
          </cell>
          <cell r="G344" t="str">
            <v xml:space="preserve">HP Vectra VEi7 DT C466-32M4.3G/S95      HPD8126A </v>
          </cell>
          <cell r="H344">
            <v>16955</v>
          </cell>
          <cell r="I344">
            <v>1</v>
          </cell>
          <cell r="J344">
            <v>16955</v>
          </cell>
        </row>
        <row r="345">
          <cell r="B345" t="str">
            <v>ООС-0104-000308</v>
          </cell>
          <cell r="C345" t="str">
            <v>Копп. Апп. Rex-Rotaru8851</v>
          </cell>
          <cell r="D345">
            <v>36739</v>
          </cell>
          <cell r="E345">
            <v>57116.93</v>
          </cell>
          <cell r="F345">
            <v>1</v>
          </cell>
          <cell r="G345" t="str">
            <v>Rex Rotary 8612</v>
          </cell>
          <cell r="H345">
            <v>15820</v>
          </cell>
          <cell r="I345">
            <v>1</v>
          </cell>
          <cell r="J345">
            <v>15820</v>
          </cell>
        </row>
        <row r="346">
          <cell r="B346" t="str">
            <v>ООС-0104-000671</v>
          </cell>
          <cell r="C346" t="str">
            <v>Принтер HPLJ4050</v>
          </cell>
          <cell r="D346">
            <v>37622</v>
          </cell>
          <cell r="E346">
            <v>20993.96</v>
          </cell>
          <cell r="F346">
            <v>1</v>
          </cell>
          <cell r="G346" t="str">
            <v xml:space="preserve">HP LaserJet 4050N (C4253A) A4 16 стр/ мин сетевой 1200dpi </v>
          </cell>
          <cell r="H346">
            <v>44522</v>
          </cell>
          <cell r="I346">
            <v>1</v>
          </cell>
          <cell r="J346">
            <v>44522</v>
          </cell>
        </row>
        <row r="347">
          <cell r="B347" t="str">
            <v>ООС-0104-000673</v>
          </cell>
          <cell r="C347" t="str">
            <v>Сис.блк+монит.VL400DT</v>
          </cell>
          <cell r="D347">
            <v>37622</v>
          </cell>
          <cell r="E347">
            <v>10797.03</v>
          </cell>
          <cell r="F347">
            <v>2</v>
          </cell>
          <cell r="G347" t="str">
            <v xml:space="preserve">Celeron/900 MHz/64 Mb/20000 Mb/SVGA Hewlett-Packard ПК HP Vectra VL400, Cel 900MHz, 64MB PC133 SDRAM, 20GB, AGP и ViewSonic VP 140 TCO'99 </v>
          </cell>
          <cell r="H347">
            <v>17190</v>
          </cell>
          <cell r="I347">
            <v>1</v>
          </cell>
          <cell r="J347">
            <v>34380</v>
          </cell>
        </row>
        <row r="348">
          <cell r="B348" t="str">
            <v>ООС-0104-000674</v>
          </cell>
          <cell r="C348" t="str">
            <v>Ноутбук Satell 2805-S302</v>
          </cell>
          <cell r="D348">
            <v>37622</v>
          </cell>
          <cell r="E348">
            <v>29306.04</v>
          </cell>
          <cell r="F348">
            <v>1</v>
          </cell>
          <cell r="G348" t="str">
            <v xml:space="preserve">Ноутбук Toshiba Satellite 2805-S302 </v>
          </cell>
          <cell r="H348">
            <v>13875</v>
          </cell>
          <cell r="I348">
            <v>1</v>
          </cell>
          <cell r="J348">
            <v>13875</v>
          </cell>
        </row>
        <row r="349">
          <cell r="B349" t="str">
            <v>ООС-0104-000699</v>
          </cell>
          <cell r="C349" t="str">
            <v>Принтер HP LJ1100</v>
          </cell>
          <cell r="D349">
            <v>37622</v>
          </cell>
          <cell r="E349">
            <v>4115.6899999999996</v>
          </cell>
          <cell r="F349">
            <v>1</v>
          </cell>
          <cell r="G349" t="str">
            <v xml:space="preserve">Принтер HP LaserJet 1100 (C4224A) 8 стр/ мин </v>
          </cell>
          <cell r="H349">
            <v>8653</v>
          </cell>
          <cell r="I349">
            <v>1</v>
          </cell>
          <cell r="J349">
            <v>8653</v>
          </cell>
        </row>
        <row r="350">
          <cell r="B350" t="str">
            <v>ООС-0104-000616</v>
          </cell>
          <cell r="C350" t="str">
            <v>Сис. Блок Brio BA</v>
          </cell>
          <cell r="D350">
            <v>37622</v>
          </cell>
          <cell r="E350">
            <v>18145.919999999998</v>
          </cell>
          <cell r="F350">
            <v>1</v>
          </cell>
          <cell r="G350" t="str">
            <v>Hewlett-Packard (HP) P1711A Системный блок HP Brio BA 410 P1711A P3-733 64MB 10GB CD-48x W98Engl</v>
          </cell>
          <cell r="H350">
            <v>5879</v>
          </cell>
          <cell r="I350">
            <v>1</v>
          </cell>
          <cell r="J350">
            <v>5879</v>
          </cell>
        </row>
        <row r="351">
          <cell r="B351" t="str">
            <v>ООС-0104-000620</v>
          </cell>
          <cell r="C351" t="str">
            <v>Принтер HPLJ1100</v>
          </cell>
          <cell r="D351">
            <v>37622</v>
          </cell>
          <cell r="E351">
            <v>6369.71</v>
          </cell>
          <cell r="F351">
            <v>1</v>
          </cell>
          <cell r="G351" t="str">
            <v xml:space="preserve">Принтер HP LaserJet 1100 (C4224A) 8 стр/ мин </v>
          </cell>
          <cell r="H351">
            <v>8653</v>
          </cell>
          <cell r="I351">
            <v>1</v>
          </cell>
          <cell r="J351">
            <v>8653</v>
          </cell>
        </row>
        <row r="352">
          <cell r="B352" t="str">
            <v>ООС-014-000404</v>
          </cell>
          <cell r="C352" t="str">
            <v>Ксерокс Rex-Rotaru</v>
          </cell>
          <cell r="D352">
            <v>36948</v>
          </cell>
          <cell r="E352">
            <v>91009.27</v>
          </cell>
          <cell r="F352">
            <v>1</v>
          </cell>
          <cell r="G352" t="str">
            <v xml:space="preserve">КОПИР MB 5815 </v>
          </cell>
          <cell r="H352">
            <v>28807</v>
          </cell>
          <cell r="I352">
            <v>1</v>
          </cell>
          <cell r="J352">
            <v>28807</v>
          </cell>
        </row>
        <row r="353">
          <cell r="B353" t="str">
            <v>ООС-0104-000415</v>
          </cell>
          <cell r="C353" t="str">
            <v>Батарейка UPS1000</v>
          </cell>
          <cell r="D353">
            <v>36979</v>
          </cell>
          <cell r="E353">
            <v>0</v>
          </cell>
          <cell r="F353">
            <v>1</v>
          </cell>
          <cell r="G353" t="str">
            <v>SU1000XLINET</v>
          </cell>
          <cell r="H353">
            <v>4421</v>
          </cell>
          <cell r="I353">
            <v>1</v>
          </cell>
          <cell r="J353">
            <v>4421</v>
          </cell>
        </row>
        <row r="354">
          <cell r="B354" t="str">
            <v>ООС-0104-000432</v>
          </cell>
          <cell r="C354" t="str">
            <v>Масленный радиатор</v>
          </cell>
          <cell r="D354">
            <v>37000</v>
          </cell>
          <cell r="E354">
            <v>0</v>
          </cell>
          <cell r="F354">
            <v>1</v>
          </cell>
          <cell r="G354" t="str">
            <v xml:space="preserve">Масленые радиаторы DELONGHI R 030715 V RADIA </v>
          </cell>
          <cell r="H354">
            <v>1851</v>
          </cell>
          <cell r="I354">
            <v>1</v>
          </cell>
          <cell r="J354">
            <v>1851</v>
          </cell>
        </row>
        <row r="355">
          <cell r="B355" t="str">
            <v>ООС-0104-000433</v>
          </cell>
          <cell r="C355" t="str">
            <v>Масленный радиатор</v>
          </cell>
          <cell r="D355">
            <v>37000</v>
          </cell>
          <cell r="E355">
            <v>0</v>
          </cell>
          <cell r="F355">
            <v>1</v>
          </cell>
          <cell r="G355" t="str">
            <v xml:space="preserve">Масленые радиаторы DELONGHI R 030715 V RADIA </v>
          </cell>
          <cell r="H355">
            <v>1851</v>
          </cell>
          <cell r="I355">
            <v>1</v>
          </cell>
          <cell r="J355">
            <v>1851</v>
          </cell>
        </row>
        <row r="356">
          <cell r="B356" t="str">
            <v>ООС-0104-000434</v>
          </cell>
          <cell r="C356" t="str">
            <v>Масленный радиатор</v>
          </cell>
          <cell r="D356">
            <v>37000</v>
          </cell>
          <cell r="E356">
            <v>0</v>
          </cell>
          <cell r="F356">
            <v>1</v>
          </cell>
          <cell r="G356" t="str">
            <v xml:space="preserve">Масленые радиаторы DELONGHI R 030715 V RADIA </v>
          </cell>
          <cell r="H356">
            <v>1851</v>
          </cell>
          <cell r="I356">
            <v>1</v>
          </cell>
          <cell r="J356">
            <v>1851</v>
          </cell>
        </row>
        <row r="357">
          <cell r="B357" t="str">
            <v>ООС-0104-000435</v>
          </cell>
          <cell r="C357" t="str">
            <v>Масленный радиатор</v>
          </cell>
          <cell r="D357">
            <v>37000</v>
          </cell>
          <cell r="E357">
            <v>0</v>
          </cell>
          <cell r="F357">
            <v>1</v>
          </cell>
          <cell r="G357" t="str">
            <v xml:space="preserve">Масленые радиаторы DELONGHI R 030715 V RADIA </v>
          </cell>
          <cell r="H357">
            <v>1851</v>
          </cell>
          <cell r="I357">
            <v>1</v>
          </cell>
          <cell r="J357">
            <v>1851</v>
          </cell>
        </row>
        <row r="358">
          <cell r="B358" t="str">
            <v>ООС-0104-000436</v>
          </cell>
          <cell r="C358" t="str">
            <v>Масленный радиатор</v>
          </cell>
          <cell r="D358">
            <v>37000</v>
          </cell>
          <cell r="E358">
            <v>0</v>
          </cell>
          <cell r="F358">
            <v>1</v>
          </cell>
          <cell r="G358" t="str">
            <v xml:space="preserve">Масленые радиаторы DELONGHI R 030715 V RADIA </v>
          </cell>
          <cell r="H358">
            <v>1851</v>
          </cell>
          <cell r="I358">
            <v>1</v>
          </cell>
          <cell r="J358">
            <v>1851</v>
          </cell>
        </row>
        <row r="359">
          <cell r="B359" t="str">
            <v>ООС-0104-000437</v>
          </cell>
          <cell r="C359" t="str">
            <v>Масленный радиатор</v>
          </cell>
          <cell r="D359">
            <v>37000</v>
          </cell>
          <cell r="E359">
            <v>0</v>
          </cell>
          <cell r="F359">
            <v>1</v>
          </cell>
          <cell r="G359" t="str">
            <v xml:space="preserve">Масленые радиаторы DELONGHI R 030715 V RADIA </v>
          </cell>
          <cell r="H359">
            <v>1851</v>
          </cell>
          <cell r="I359">
            <v>1</v>
          </cell>
          <cell r="J359">
            <v>1851</v>
          </cell>
        </row>
        <row r="360">
          <cell r="B360" t="str">
            <v>ООС-0104-000349</v>
          </cell>
          <cell r="C360" t="str">
            <v>Установка для запуска</v>
          </cell>
          <cell r="D360">
            <v>36868</v>
          </cell>
          <cell r="E360">
            <v>10925.2</v>
          </cell>
          <cell r="F360">
            <v>1</v>
          </cell>
          <cell r="G360" t="str">
            <v xml:space="preserve">Установка для запуска двигателей 380В 500-1000А </v>
          </cell>
          <cell r="H360">
            <v>23636</v>
          </cell>
          <cell r="I360">
            <v>1</v>
          </cell>
          <cell r="J360">
            <v>23636</v>
          </cell>
        </row>
        <row r="361">
          <cell r="B361" t="str">
            <v>ООС-0104-000370</v>
          </cell>
          <cell r="C361" t="str">
            <v>Аппарат копп. MB5615</v>
          </cell>
          <cell r="D361">
            <v>36861</v>
          </cell>
          <cell r="E361">
            <v>18498.27</v>
          </cell>
          <cell r="F361">
            <v>1</v>
          </cell>
          <cell r="G361" t="str">
            <v xml:space="preserve">КОПИР MB 5815 </v>
          </cell>
          <cell r="H361">
            <v>28807</v>
          </cell>
          <cell r="I361">
            <v>1</v>
          </cell>
          <cell r="J361">
            <v>28807</v>
          </cell>
        </row>
        <row r="362">
          <cell r="B362" t="str">
            <v>ООС-0104-000470</v>
          </cell>
          <cell r="C362" t="str">
            <v>Тел. Ericsson T28</v>
          </cell>
          <cell r="D362">
            <v>37235</v>
          </cell>
          <cell r="E362">
            <v>0</v>
          </cell>
          <cell r="F362">
            <v>1</v>
          </cell>
          <cell r="G362" t="str">
            <v>Ericsson T28</v>
          </cell>
          <cell r="H362">
            <v>3644</v>
          </cell>
          <cell r="I362">
            <v>1</v>
          </cell>
          <cell r="J362">
            <v>3644</v>
          </cell>
        </row>
        <row r="363">
          <cell r="B363" t="str">
            <v>ООС-0105-000427</v>
          </cell>
          <cell r="C363" t="str">
            <v>Шкаф ШРМ 22</v>
          </cell>
          <cell r="D363">
            <v>36986</v>
          </cell>
          <cell r="E363">
            <v>0</v>
          </cell>
          <cell r="F363">
            <v>1</v>
          </cell>
          <cell r="G363" t="str">
            <v xml:space="preserve">Шкаф металлический ШРМ-22/2 </v>
          </cell>
          <cell r="H363">
            <v>4119</v>
          </cell>
          <cell r="I363">
            <v>1</v>
          </cell>
          <cell r="J363">
            <v>4119</v>
          </cell>
        </row>
        <row r="364">
          <cell r="B364" t="str">
            <v>ООС-0105-000428</v>
          </cell>
          <cell r="C364" t="str">
            <v>Шкаф ШРМ 14</v>
          </cell>
          <cell r="D364">
            <v>36986</v>
          </cell>
          <cell r="E364">
            <v>0</v>
          </cell>
          <cell r="F364">
            <v>1</v>
          </cell>
          <cell r="G364" t="str">
            <v xml:space="preserve">Шкаф металлический ШРМ-14 
</v>
          </cell>
          <cell r="H364">
            <v>2818</v>
          </cell>
          <cell r="I364">
            <v>1</v>
          </cell>
          <cell r="J364">
            <v>2818</v>
          </cell>
        </row>
        <row r="365">
          <cell r="B365" t="str">
            <v>ООС-0105-000429</v>
          </cell>
          <cell r="C365" t="str">
            <v>Шкаф ШРМ 14</v>
          </cell>
          <cell r="D365">
            <v>36986</v>
          </cell>
          <cell r="E365">
            <v>0</v>
          </cell>
          <cell r="F365">
            <v>1</v>
          </cell>
          <cell r="G365" t="str">
            <v xml:space="preserve">Шкаф металлический ШРМ-14 
</v>
          </cell>
          <cell r="H365">
            <v>2818</v>
          </cell>
          <cell r="I365">
            <v>1</v>
          </cell>
          <cell r="J365">
            <v>2818</v>
          </cell>
        </row>
        <row r="366">
          <cell r="B366" t="str">
            <v>ООС-0105-000430</v>
          </cell>
          <cell r="C366" t="str">
            <v>Шкаф ШРМ 14</v>
          </cell>
          <cell r="D366">
            <v>36986</v>
          </cell>
          <cell r="E366">
            <v>0</v>
          </cell>
          <cell r="F366">
            <v>1</v>
          </cell>
          <cell r="G366" t="str">
            <v xml:space="preserve">Шкаф металлический ШРМ-14 
</v>
          </cell>
          <cell r="H366">
            <v>2818</v>
          </cell>
          <cell r="I366">
            <v>1</v>
          </cell>
          <cell r="J366">
            <v>2818</v>
          </cell>
        </row>
        <row r="367">
          <cell r="B367" t="str">
            <v>ООС-0105-000431</v>
          </cell>
          <cell r="C367" t="str">
            <v>Шкаф ШРМ 14</v>
          </cell>
          <cell r="D367">
            <v>36986</v>
          </cell>
          <cell r="E367">
            <v>0</v>
          </cell>
          <cell r="F367">
            <v>1</v>
          </cell>
          <cell r="G367" t="str">
            <v xml:space="preserve">Шкаф металлический ШРМ-14 
</v>
          </cell>
          <cell r="H367">
            <v>2818</v>
          </cell>
          <cell r="I367">
            <v>1</v>
          </cell>
          <cell r="J367">
            <v>2818</v>
          </cell>
        </row>
        <row r="368">
          <cell r="B368" t="str">
            <v>ООС-0104-000202</v>
          </cell>
          <cell r="C368" t="str">
            <v>Сис. Блок Vei7</v>
          </cell>
          <cell r="D368">
            <v>36636</v>
          </cell>
          <cell r="E368">
            <v>5278.49</v>
          </cell>
          <cell r="F368">
            <v>1</v>
          </cell>
          <cell r="G368" t="str">
            <v xml:space="preserve">HP Vectra VEi7 DT C466-32M4.3G/S95      HPD8126A </v>
          </cell>
          <cell r="H368">
            <v>16955</v>
          </cell>
          <cell r="I368">
            <v>1</v>
          </cell>
          <cell r="J368">
            <v>16955</v>
          </cell>
        </row>
        <row r="369">
          <cell r="B369" t="str">
            <v>ООС-0104-000203</v>
          </cell>
          <cell r="C369" t="str">
            <v>Сис. Блок Vei7</v>
          </cell>
          <cell r="D369">
            <v>36636</v>
          </cell>
          <cell r="E369">
            <v>5278.49</v>
          </cell>
          <cell r="F369">
            <v>1</v>
          </cell>
          <cell r="G369" t="str">
            <v xml:space="preserve">HP Vectra VEi7 DT C466-32M4.3G/S95      HPD8126A </v>
          </cell>
          <cell r="H369">
            <v>16955</v>
          </cell>
          <cell r="I369">
            <v>1</v>
          </cell>
          <cell r="J369">
            <v>16955</v>
          </cell>
        </row>
        <row r="370">
          <cell r="B370" t="str">
            <v>ООС-0104-000212</v>
          </cell>
          <cell r="C370" t="str">
            <v>Сис. Блок Vei7</v>
          </cell>
          <cell r="D370">
            <v>36675</v>
          </cell>
          <cell r="E370">
            <v>5245.26</v>
          </cell>
          <cell r="F370">
            <v>1</v>
          </cell>
          <cell r="G370" t="str">
            <v xml:space="preserve">HP Vectra VEi7 DT C466-32M4.3G/S95      HPD8126A </v>
          </cell>
          <cell r="H370">
            <v>16955</v>
          </cell>
          <cell r="I370">
            <v>1</v>
          </cell>
          <cell r="J370">
            <v>16955</v>
          </cell>
        </row>
        <row r="371">
          <cell r="B371" t="str">
            <v>ООС-0104-000213</v>
          </cell>
          <cell r="C371" t="str">
            <v>Сис. Блок Vei7</v>
          </cell>
          <cell r="D371">
            <v>36675</v>
          </cell>
          <cell r="E371">
            <v>5245.26</v>
          </cell>
          <cell r="F371">
            <v>1</v>
          </cell>
          <cell r="G371" t="str">
            <v xml:space="preserve">HP Vectra VEi7 DT C466-32M4.3G/S95      HPD8126A </v>
          </cell>
          <cell r="H371">
            <v>16955</v>
          </cell>
          <cell r="I371">
            <v>1</v>
          </cell>
          <cell r="J371">
            <v>16955</v>
          </cell>
        </row>
        <row r="372">
          <cell r="B372" t="str">
            <v>ООС-0104-000401</v>
          </cell>
          <cell r="C372" t="str">
            <v>Принтер HPLj4000</v>
          </cell>
          <cell r="D372">
            <v>37377</v>
          </cell>
          <cell r="E372">
            <v>0</v>
          </cell>
          <cell r="F372">
            <v>1</v>
          </cell>
          <cell r="G372" t="str">
            <v xml:space="preserve">Принтер Hewlett Packard LJ 4100 LPT </v>
          </cell>
          <cell r="H372">
            <v>27043</v>
          </cell>
          <cell r="I372">
            <v>1</v>
          </cell>
          <cell r="J372">
            <v>27043</v>
          </cell>
        </row>
        <row r="373">
          <cell r="B373" t="str">
            <v>ООС-0104-000581</v>
          </cell>
          <cell r="C373" t="str">
            <v>Монитор VSE70</v>
          </cell>
          <cell r="D373">
            <v>37377</v>
          </cell>
          <cell r="E373">
            <v>2575.7399999999998</v>
          </cell>
          <cell r="F373">
            <v>2</v>
          </cell>
          <cell r="G373" t="str">
            <v>17" ViewSonic E70F CRT, 0.25 мм, 70 кГц, 1024 x 768/ 85 Гц, TCO-99</v>
          </cell>
          <cell r="H373">
            <v>4069</v>
          </cell>
          <cell r="I373">
            <v>1</v>
          </cell>
          <cell r="J373">
            <v>8138</v>
          </cell>
        </row>
        <row r="374">
          <cell r="B374" t="str">
            <v>ООС-0104-000776</v>
          </cell>
          <cell r="C374" t="str">
            <v>сис. Блок VI410</v>
          </cell>
          <cell r="D374">
            <v>37681</v>
          </cell>
          <cell r="E374">
            <v>12253.65</v>
          </cell>
          <cell r="F374">
            <v>1</v>
          </cell>
          <cell r="G374" t="str">
            <v>Pentium 4/1600 MHz/256 Mb/20000 Mb/SVGA Hewlett-Packard HP Vectra VL410 DT P4-1.6GHz 256M20G CDLAN W98 (P5974A</v>
          </cell>
          <cell r="H374">
            <v>19894</v>
          </cell>
          <cell r="I374">
            <v>1</v>
          </cell>
          <cell r="J374">
            <v>19894</v>
          </cell>
        </row>
        <row r="375">
          <cell r="B375" t="str">
            <v>ООС-0104-000781</v>
          </cell>
          <cell r="C375" t="str">
            <v>Сис.блок+монит. VL400</v>
          </cell>
          <cell r="D375">
            <v>37681</v>
          </cell>
          <cell r="E375">
            <v>19331.580000000002</v>
          </cell>
          <cell r="F375">
            <v>1</v>
          </cell>
          <cell r="G375" t="str">
            <v xml:space="preserve">Celeron/900 MHz/64 Mb/20000 Mb/SVGA Hewlett-Packard ПК HP Vectra VL400, Cel 900MHz, 64MB PC133 SDRAM, 20GB, AGP и ViewSonic VP 140 TCO'99 </v>
          </cell>
          <cell r="H375">
            <v>17190</v>
          </cell>
          <cell r="I375">
            <v>1</v>
          </cell>
          <cell r="J375">
            <v>17190</v>
          </cell>
        </row>
        <row r="376">
          <cell r="B376" t="str">
            <v>ООС-0104-000854</v>
          </cell>
          <cell r="C376" t="str">
            <v>Ноутбук Satell 2805-S503</v>
          </cell>
          <cell r="D376">
            <v>37742</v>
          </cell>
          <cell r="E376">
            <v>29402.05</v>
          </cell>
          <cell r="F376">
            <v>1</v>
          </cell>
          <cell r="G376" t="str">
            <v>Ноутбук Toshiba Satellite 2805-S503</v>
          </cell>
          <cell r="H376">
            <v>60710</v>
          </cell>
          <cell r="I376">
            <v>1</v>
          </cell>
          <cell r="J376">
            <v>60710</v>
          </cell>
        </row>
        <row r="377">
          <cell r="B377" t="str">
            <v>ООС-0105-000087</v>
          </cell>
          <cell r="C377" t="str">
            <v xml:space="preserve">Стол рабочий </v>
          </cell>
          <cell r="D377">
            <v>36223</v>
          </cell>
          <cell r="E377">
            <v>0</v>
          </cell>
          <cell r="F377">
            <v>1</v>
          </cell>
          <cell r="G377" t="str">
            <v>Стол рабочий</v>
          </cell>
          <cell r="H377">
            <v>15756</v>
          </cell>
          <cell r="I377">
            <v>1</v>
          </cell>
          <cell r="J377">
            <v>15756</v>
          </cell>
        </row>
        <row r="378">
          <cell r="B378" t="str">
            <v>ООС-0104-001056</v>
          </cell>
          <cell r="C378" t="str">
            <v>Сис. Блок HPD230m</v>
          </cell>
          <cell r="D378">
            <v>38244</v>
          </cell>
          <cell r="E378">
            <v>10703.69</v>
          </cell>
          <cell r="F378">
            <v>1</v>
          </cell>
          <cell r="G378" t="str">
            <v xml:space="preserve">HP Compaq d230m P2.66GHz 256Mb 40Gb CD XPP </v>
          </cell>
          <cell r="H378">
            <v>19377</v>
          </cell>
          <cell r="I378">
            <v>1</v>
          </cell>
          <cell r="J378">
            <v>19377</v>
          </cell>
        </row>
        <row r="379">
          <cell r="B379" t="str">
            <v>ООС-0104-001062</v>
          </cell>
          <cell r="C379" t="str">
            <v>Сис. Блок HPD230m</v>
          </cell>
          <cell r="D379">
            <v>38244</v>
          </cell>
          <cell r="E379">
            <v>10703.69</v>
          </cell>
          <cell r="F379">
            <v>1</v>
          </cell>
          <cell r="G379" t="str">
            <v xml:space="preserve">HP Compaq d230m P2.66GHz 256Mb 40Gb CD XPP </v>
          </cell>
          <cell r="H379">
            <v>19377</v>
          </cell>
          <cell r="I379">
            <v>1</v>
          </cell>
          <cell r="J379">
            <v>19377</v>
          </cell>
        </row>
        <row r="380">
          <cell r="B380" t="str">
            <v>ООС-0104-001061</v>
          </cell>
          <cell r="C380" t="str">
            <v>Сис. Блок HPD230m</v>
          </cell>
          <cell r="D380">
            <v>38244</v>
          </cell>
          <cell r="E380">
            <v>10703.69</v>
          </cell>
          <cell r="F380">
            <v>1</v>
          </cell>
          <cell r="G380" t="str">
            <v xml:space="preserve">HP Compaq d230m P2.66GHz 256Mb 40Gb CD XPP </v>
          </cell>
          <cell r="H380">
            <v>19377</v>
          </cell>
          <cell r="I380">
            <v>1</v>
          </cell>
          <cell r="J380">
            <v>19377</v>
          </cell>
        </row>
        <row r="381">
          <cell r="B381" t="str">
            <v>ООС-0104-001060</v>
          </cell>
          <cell r="C381" t="str">
            <v>Сис. Блок HPD230m</v>
          </cell>
          <cell r="D381">
            <v>38244</v>
          </cell>
          <cell r="E381">
            <v>10703.69</v>
          </cell>
          <cell r="F381">
            <v>1</v>
          </cell>
          <cell r="G381" t="str">
            <v xml:space="preserve">HP Compaq d230m P2.66GHz 256Mb 40Gb CD XPP </v>
          </cell>
          <cell r="H381">
            <v>19377</v>
          </cell>
          <cell r="I381">
            <v>1</v>
          </cell>
          <cell r="J381">
            <v>19377</v>
          </cell>
        </row>
        <row r="382">
          <cell r="B382" t="str">
            <v>ООС-0104-000752</v>
          </cell>
          <cell r="C382" t="str">
            <v>Тепловая пушка</v>
          </cell>
          <cell r="D382">
            <v>37622</v>
          </cell>
          <cell r="E382">
            <v>0</v>
          </cell>
          <cell r="F382">
            <v>1</v>
          </cell>
          <cell r="G382" t="str">
            <v>ТРОПИК ЗЭТ-18-ДУ Высокопроизводительная завеса для вертикальной / горизонтальной установки</v>
          </cell>
          <cell r="H382">
            <v>25397</v>
          </cell>
          <cell r="I382">
            <v>1</v>
          </cell>
          <cell r="J382">
            <v>25397</v>
          </cell>
        </row>
        <row r="383">
          <cell r="B383" t="str">
            <v>ООС-0105-000377</v>
          </cell>
          <cell r="C383" t="str">
            <v>Карта мира</v>
          </cell>
          <cell r="D383">
            <v>37377</v>
          </cell>
          <cell r="E383">
            <v>0</v>
          </cell>
          <cell r="F383">
            <v>1</v>
          </cell>
          <cell r="G383" t="str">
            <v>Карта мира (1160 мм х 760 мм)</v>
          </cell>
          <cell r="H383">
            <v>25903</v>
          </cell>
          <cell r="I383">
            <v>1</v>
          </cell>
          <cell r="J383">
            <v>25903</v>
          </cell>
        </row>
        <row r="384">
          <cell r="B384" t="str">
            <v>ООС-0104-000389</v>
          </cell>
          <cell r="C384" t="str">
            <v>Монитор VeiG553</v>
          </cell>
          <cell r="D384">
            <v>37377</v>
          </cell>
          <cell r="E384">
            <v>0</v>
          </cell>
          <cell r="F384">
            <v>1</v>
          </cell>
          <cell r="G384" t="str">
            <v xml:space="preserve">Монитор 15'' ViewSonic E651 </v>
          </cell>
          <cell r="H384">
            <v>4021</v>
          </cell>
          <cell r="I384">
            <v>1</v>
          </cell>
          <cell r="J384">
            <v>4021</v>
          </cell>
        </row>
        <row r="385">
          <cell r="B385" t="str">
            <v>ООС-0104-000396</v>
          </cell>
          <cell r="C385" t="str">
            <v>Сис. Блок VEi8</v>
          </cell>
          <cell r="D385">
            <v>37377</v>
          </cell>
          <cell r="E385">
            <v>0</v>
          </cell>
          <cell r="F385">
            <v>1</v>
          </cell>
          <cell r="G385" t="str">
            <v xml:space="preserve">DT P450-64Mb/4.3Gb/MATROX G200 AGP 8mB/3Com Lan      HPD8172N </v>
          </cell>
          <cell r="H385">
            <v>24009</v>
          </cell>
          <cell r="I385">
            <v>1</v>
          </cell>
          <cell r="J385">
            <v>24009</v>
          </cell>
        </row>
        <row r="386">
          <cell r="B386" t="str">
            <v>ООС-0104-000458</v>
          </cell>
          <cell r="C386" t="str">
            <v>Тел Panasonic KT-ST15</v>
          </cell>
          <cell r="D386">
            <v>37165</v>
          </cell>
          <cell r="E386">
            <v>0</v>
          </cell>
          <cell r="F386">
            <v>1</v>
          </cell>
          <cell r="G386" t="str">
            <v xml:space="preserve">Телефон Panasonic KX-TCD512RU </v>
          </cell>
          <cell r="H386">
            <v>5096</v>
          </cell>
          <cell r="I386">
            <v>1</v>
          </cell>
          <cell r="J386">
            <v>5096</v>
          </cell>
        </row>
        <row r="387">
          <cell r="E387">
            <v>12045014.41</v>
          </cell>
          <cell r="J387">
            <v>13518395</v>
          </cell>
        </row>
      </sheetData>
      <sheetData sheetId="2"/>
      <sheetData sheetId="3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Износ"/>
      <sheetName val="Описание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Износ"/>
      <sheetName val="Описание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од.инф."/>
      <sheetName val="Здания-Сравнит"/>
      <sheetName val="Здания-Затратн"/>
      <sheetName val="Здания-Доходн"/>
      <sheetName val="Здания-Взвеш"/>
    </sheetNames>
    <sheetDataSet>
      <sheetData sheetId="0" refreshError="1">
        <row r="8">
          <cell r="C8">
            <v>3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НЭИ застр"/>
      <sheetName val="ННЭИ незастр"/>
      <sheetName val="Пред приб"/>
      <sheetName val="Модульный"/>
      <sheetName val="УПВС с землей"/>
      <sheetName val="УПВС"/>
      <sheetName val="рассчет ФИ"/>
      <sheetName val="признаки ФИ "/>
      <sheetName val="НФИк"/>
      <sheetName val="НФИд"/>
      <sheetName val="Лист1"/>
      <sheetName val="Расчет коэф мод"/>
      <sheetName val="УФУ2"/>
      <sheetName val="Расчет ст-ти модерн"/>
      <sheetName val="функ2рода кор"/>
      <sheetName val="земля"/>
      <sheetName val="Исходные условия (константы)"/>
      <sheetName val="анализ площаде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7">
          <cell r="A17">
            <v>121669648.18420421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ундамент"/>
      <sheetName val="Крыша УраганАКТ-ФЕВР"/>
      <sheetName val=" Трет Фасад Смета"/>
      <sheetName val=" Трет Фасад Акт-Февр"/>
      <sheetName val=" Трет Фасад Акт-МАРТ"/>
      <sheetName val="Забор"/>
      <sheetName val="Асфальт  ОФ "/>
      <sheetName val="Асфальт  "/>
      <sheetName val="ГОРЯЧВодопр "/>
      <sheetName val="ГОРЯЧВодопр  (2)"/>
      <sheetName val="АКТ ГОРЯЧВодопр "/>
      <sheetName val="ПожВодопр"/>
      <sheetName val="ПожВодопр (2)"/>
      <sheetName val="ПожВодопрАКТ-ФЕВР-МАРТ"/>
      <sheetName val=" Кабель "/>
      <sheetName val=" Кабель  (2)"/>
      <sheetName val="АКТ  Кабель  "/>
      <sheetName val="Теплотрасса"/>
      <sheetName val="Теплотрасса (2)"/>
      <sheetName val="АКТ Теплотрасса "/>
      <sheetName val="АКТ Теплотрасса  (2)"/>
      <sheetName val="Водопров"/>
      <sheetName val="Водопров (2)"/>
      <sheetName val="Водопров АКТ-ДЕК"/>
      <sheetName val="Произв База АКТ-ЯНВ"/>
      <sheetName val="Быт Канал"/>
      <sheetName val="Пож и Хоз Вод АКТ-ЯНВ"/>
      <sheetName val="ДОП РАБ КабельТранш АКТ-ЯНВ (2)"/>
      <sheetName val="Быт Канал (3)"/>
      <sheetName val="Быт Канал Акт"/>
      <sheetName val="Ливн Канал"/>
      <sheetName val="Ливн Канал (2)"/>
      <sheetName val="Ливн Канал Акт"/>
      <sheetName val="Бетон Пол  "/>
      <sheetName val="Бетон Пол   ОФ"/>
      <sheetName val="АКТ Бетон Пол   "/>
      <sheetName val="АКТ-ДЕК Произв.Цех"/>
      <sheetName val=" Подвесн Потол Акт-ЯНВ"/>
      <sheetName val="АКТ-ДЕК Произв.Цех (2)"/>
      <sheetName val=" Подвесн Потол Смета"/>
      <sheetName val=" Подвесн Потол АКТ-Февр"/>
      <sheetName val=" Подвесн Потол (4)"/>
      <sheetName val=" Подвесн Потол (3)"/>
      <sheetName val=" Подвесн Потол (2)"/>
      <sheetName val=" АКТ Подвесн Потол1"/>
      <sheetName val=" АКТ Подвесн Потол1 (2)"/>
      <sheetName val="АКТ Подвесн Потол 2"/>
      <sheetName val="  Подвесн Потол 1"/>
      <sheetName val="  Штукат"/>
      <sheetName val=" Внутр ШтукатОф"/>
      <sheetName val=" АКТ  Штукат Июль"/>
      <sheetName val=" АКТ  Штукат Август"/>
      <sheetName val=" Внутр Откосы Оф "/>
      <sheetName val=" АКТ Откосы Июль"/>
      <sheetName val=" Внутр Штукат"/>
      <sheetName val="Третьяк Желоба"/>
      <sheetName val="Третьяк 2 К-2"/>
      <sheetName val="Третьяк 2 К-1"/>
      <sheetName val=" АКТ К-2 ,К-1 Феврал"/>
      <sheetName val=" АКТ К-2 ,К-1 Март 01"/>
      <sheetName val=" Третьяк2 Ремонт"/>
      <sheetName val=" Третьяк2 Перспектива"/>
      <sheetName val="ТретьякКотельная"/>
      <sheetName val="Котельная  Оф"/>
      <sheetName val="АКТ Котельная  "/>
      <sheetName val="АКТ Котельная  Окт"/>
      <sheetName val="АКТ Котельная  Сантех"/>
      <sheetName val="Котел Зарпл"/>
      <sheetName val="Трансформаторн"/>
      <sheetName val="Трансф Зарпл"/>
      <sheetName val="АКТ Трансформ Июль"/>
      <sheetName val="Акт Трансформат "/>
      <sheetName val="АКТ Трансфрм  Окт "/>
      <sheetName val="Третьяк2 Пол "/>
      <sheetName val="АКТ Третьяк2 Пол Ноябрь"/>
      <sheetName val="АКТ Третьяк2  Декабрь"/>
      <sheetName val="АКТ Трет2 Янва 01"/>
      <sheetName val="Смета ТРЕТ.ОТДЕЛКА"/>
      <sheetName val="Диаграмма1"/>
      <sheetName val="Смета ТРЕТ.ОТДЕЛКА (5)"/>
      <sheetName val="АКТ Трет2 Март 01"/>
      <sheetName val="АКТ Трет2 Июль 01 "/>
      <sheetName val="А кт Трет4  Декабрь"/>
      <sheetName val="А кт Трет4 Январ 01"/>
      <sheetName val="А кт Трет4 Январ 01 (2)"/>
      <sheetName val="А кт Трет4 Февра"/>
      <sheetName val="А кт Трет4 Март01"/>
      <sheetName val="А кт Трет4 Август"/>
      <sheetName val="А кт Трет4 Август (2)"/>
      <sheetName val="А кт Лестн  Июль01"/>
      <sheetName val="А кт Трет 5 Декабрь"/>
      <sheetName val="А кт Трет 5 Январ"/>
      <sheetName val="А кт Трет 5 Феврал"/>
      <sheetName val="А кт Трет 5 Март01"/>
      <sheetName val="А кт Трет 6 Феврал "/>
      <sheetName val="А кт Трет 6 Март01"/>
      <sheetName val="А кт Трет 6 Июль01"/>
      <sheetName val="Цоколь"/>
      <sheetName val="Третьяк2 Отмостка"/>
      <sheetName val="Третьяк2 Кровля "/>
      <sheetName val="А ктЦоколь Ноябрь"/>
      <sheetName val="А ктЦоколь МАРТ01"/>
      <sheetName val="Фундамент АКТ-АПР"/>
      <sheetName val="ФундаментЗП"/>
      <sheetName val="Смета ТРЕТ.ОТДЕЛКА (6)"/>
      <sheetName val=" ТРЕТ.ОТДЕЛКА ЗП"/>
      <sheetName val="Быт Канал (2)"/>
      <sheetName val=" Подвесн Потол (5)"/>
      <sheetName val="Трансформаторн (2)"/>
      <sheetName val="ПожВодопрАКТ-ФЕВР"/>
      <sheetName val=" Подвесн Потол"/>
      <sheetName val="Произв База АКТ-февр"/>
      <sheetName val=" БордюрАкт-АПР"/>
      <sheetName val="Кровля"/>
      <sheetName val="Сантехника АКТ-АП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>
        <row r="8">
          <cell r="F8" t="str">
            <v>Е27-33</v>
          </cell>
        </row>
      </sheetData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 refreshError="1"/>
      <sheetData sheetId="109" refreshError="1"/>
      <sheetData sheetId="110"/>
      <sheetData sheetId="111"/>
      <sheetData sheetId="112"/>
      <sheetData sheetId="113"/>
      <sheetData sheetId="114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нотация"/>
      <sheetName val="Опросник"/>
      <sheetName val="Исходник"/>
    </sheetNames>
    <sheetDataSet>
      <sheetData sheetId="0"/>
      <sheetData sheetId="1"/>
      <sheetData sheetId="2">
        <row r="4">
          <cell r="U4" t="str">
            <v>Земли промышленности</v>
          </cell>
        </row>
        <row r="5">
          <cell r="U5" t="str">
            <v>Под административные объекты</v>
          </cell>
        </row>
        <row r="6">
          <cell r="U6" t="str">
            <v>Поселений: многоэтажная жилая застройка</v>
          </cell>
        </row>
        <row r="7">
          <cell r="U7" t="str">
            <v>Индивидуальное жилищное строительство/Личное подсобное хоз-во</v>
          </cell>
        </row>
        <row r="8">
          <cell r="U8" t="str">
            <v>Дачное строительство</v>
          </cell>
        </row>
        <row r="9">
          <cell r="U9" t="str">
            <v>Земли запаса</v>
          </cell>
        </row>
        <row r="10">
          <cell r="U10" t="str">
            <v>Земли водного фонда</v>
          </cell>
        </row>
        <row r="11">
          <cell r="U11" t="str">
            <v>Сельхоз. земли</v>
          </cell>
        </row>
        <row r="12">
          <cell r="U12" t="str">
            <v>Поселений: строительство объектов сервиса</v>
          </cell>
        </row>
        <row r="13">
          <cell r="U13" t="str">
            <v>Поселений: строительство торговых объектов</v>
          </cell>
        </row>
        <row r="14">
          <cell r="U14" t="str">
            <v>Поселений: рекреационного назначения</v>
          </cell>
        </row>
        <row r="15">
          <cell r="U15" t="str">
            <v>Поселений: прочее</v>
          </cell>
        </row>
        <row r="16">
          <cell r="U16" t="str">
            <v>Земли лесного фонда</v>
          </cell>
        </row>
        <row r="17">
          <cell r="U17" t="str">
            <v>-</v>
          </cell>
        </row>
      </sheetData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едложение"/>
      <sheetName val="Параметры"/>
      <sheetName val="Корпуса"/>
      <sheetName val="Затраты"/>
      <sheetName val="План продаж"/>
      <sheetName val="ПДР"/>
      <sheetName val="ПДДС"/>
      <sheetName val="Показатели"/>
      <sheetName val="NPV Chart"/>
      <sheetName val="Лист2"/>
      <sheetName val="Затр с инфл (с инж)"/>
      <sheetName val="ПДДС-корпуса"/>
      <sheetName val="cur_projects pl"/>
      <sheetName val="Сводная ЛССМУ"/>
      <sheetName val="POW"/>
      <sheetName val="Оплата по графикам"/>
      <sheetName val="Сводный-затраты"/>
      <sheetName val="sараметры"/>
      <sheetName val="Narratives-Subsidiarie"/>
      <sheetName val="input data"/>
      <sheetName val="лист4"/>
      <sheetName val="Черновик"/>
      <sheetName val="summary"/>
      <sheetName val="Таблица"/>
      <sheetName val="Breakdown CAPEX (PBC)"/>
      <sheetName val="гр+"/>
      <sheetName val="ВводД"/>
      <sheetName val="Лист1-ЛССМУ"/>
      <sheetName val="План_продаж"/>
      <sheetName val="NPV_Chart"/>
      <sheetName val="cur_projects_pl"/>
      <sheetName val="Сводная_ЛССМУ"/>
      <sheetName val="Затр_с_инфл_(с_инж)"/>
      <sheetName val="Оплата_по_графикам"/>
      <sheetName val="input_data"/>
      <sheetName val="Breakdown_CAPEX_(PBC)"/>
      <sheetName val="Investment summary Ricci"/>
      <sheetName val="Анализ"/>
      <sheetName val="inputs"/>
      <sheetName val=" n finansal eğri"/>
      <sheetName val="TABLO-3"/>
      <sheetName val="Итог по НПО "/>
      <sheetName val="план дск"/>
      <sheetName val="Assumptons"/>
      <sheetName val="sal"/>
      <sheetName val="каскад,5"/>
      <sheetName val="Списки"/>
      <sheetName val="бог"/>
      <sheetName val="мфтц,к.4"/>
      <sheetName val="СПЧ-кредит Альфабанк"/>
      <sheetName val="свед"/>
      <sheetName val="План_продаж1"/>
      <sheetName val="NPV_Chart1"/>
      <sheetName val="cur_projects_pl1"/>
      <sheetName val="Сводная_ЛССМУ1"/>
      <sheetName val="Затр_с_инфл_(с_инж)1"/>
      <sheetName val="Оплата_по_графикам1"/>
      <sheetName val="input_data1"/>
      <sheetName val="Breakdown_CAPEX_(PBC)1"/>
      <sheetName val="Investment_summary_Ricci"/>
      <sheetName val="Расчёт 2005"/>
      <sheetName val="Данные по проекту"/>
      <sheetName val="Лист5"/>
      <sheetName val="План_продаж2"/>
      <sheetName val="NPV_Chart2"/>
      <sheetName val="Затр_с_инфл_(с_инж)2"/>
      <sheetName val="cur_projects_pl2"/>
      <sheetName val="Сводная_ЛССМУ2"/>
      <sheetName val="Оплата_по_графикам2"/>
      <sheetName val="input_data2"/>
      <sheetName val="Breakdown_CAPEX_(PBC)2"/>
      <sheetName val="Investment_summary_Ricci1"/>
      <sheetName val="Итог_по_НПО_"/>
      <sheetName val="_n_finansal_eğri"/>
      <sheetName val="план_дск"/>
      <sheetName val="мфтц,к_4"/>
      <sheetName val="СПЧ-кредит_Альфабанк"/>
      <sheetName val="Расчёт_2005"/>
      <sheetName val="Справочники"/>
      <sheetName val="1.1 Inputs"/>
      <sheetName val="Cash2"/>
      <sheetName val="Z"/>
      <sheetName val="lob"/>
      <sheetName val="Отчет о реализации площадей"/>
    </sheetNames>
    <sheetDataSet>
      <sheetData sheetId="0" refreshError="1"/>
      <sheetData sheetId="1" refreshError="1">
        <row r="22">
          <cell r="B22">
            <v>0.08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едложение"/>
      <sheetName val="Параметры"/>
      <sheetName val="Корпуса"/>
      <sheetName val="график затрат"/>
      <sheetName val="План продаж"/>
      <sheetName val="ПДР"/>
      <sheetName val="ПДДС"/>
      <sheetName val="Показатели"/>
      <sheetName val="IRRотеч"/>
      <sheetName val="IRRиностр"/>
      <sheetName val="оплата по графикам"/>
      <sheetName val="Сводный-затраты"/>
      <sheetName val="Черновик"/>
      <sheetName val="каскад,5"/>
      <sheetName val="бог"/>
      <sheetName val="мфтц,к.4"/>
      <sheetName val="Лист1"/>
      <sheetName val="гр+"/>
      <sheetName val="ВводД"/>
      <sheetName val="inputs"/>
      <sheetName val="cur_projects pl"/>
      <sheetName val="Narratives-Subsidiarie"/>
      <sheetName val="Таблица"/>
      <sheetName val="summary"/>
      <sheetName val="Сводная ЛССМУ"/>
      <sheetName val="лист4"/>
      <sheetName val="Breakdown CAPEX (PBC)"/>
      <sheetName val="input data"/>
      <sheetName val="график_затрат"/>
      <sheetName val="План_продаж"/>
      <sheetName val="оплата_по_графикам"/>
      <sheetName val="мфтц,к_4"/>
      <sheetName val="cur_projects_pl"/>
      <sheetName val="input_data"/>
      <sheetName val="Forecast"/>
      <sheetName val="revenue"/>
      <sheetName val="импортеры99"/>
      <sheetName val="импортеры96"/>
      <sheetName val="импортеры97"/>
      <sheetName val="POW"/>
      <sheetName val="Отчет о реализации площадей"/>
      <sheetName val="Расчёт 2005"/>
      <sheetName val="comps"/>
      <sheetName val="C.1.D.1.РСП"/>
      <sheetName val="спр (2)"/>
      <sheetName val="О1"/>
      <sheetName val="Сводный лист"/>
      <sheetName val="справочник"/>
      <sheetName val="график_затрат1"/>
      <sheetName val="План_продаж1"/>
      <sheetName val="оплата_по_графикам1"/>
      <sheetName val="мфтц,к_41"/>
      <sheetName val="cur_projects_pl1"/>
      <sheetName val="input_data1"/>
      <sheetName val="Сводная_ЛССМУ"/>
      <sheetName val="Breakdown_CAPEX_(PBC)"/>
      <sheetName val="Отчет_о_реализации_площадей"/>
      <sheetName val="Земля"/>
      <sheetName val="Справочник Статей затрат"/>
      <sheetName val="Списки"/>
      <sheetName val="график_затрат2"/>
      <sheetName val="План_продаж2"/>
      <sheetName val="оплата_по_графикам2"/>
      <sheetName val="мфтц,к_42"/>
      <sheetName val="Сводная_ЛССМУ1"/>
      <sheetName val="cur_projects_pl2"/>
      <sheetName val="input_data2"/>
      <sheetName val="Breakdown_CAPEX_(PBC)1"/>
      <sheetName val="Отчет_о_реализации_площадей1"/>
      <sheetName val="C_1_D_1_РСП"/>
      <sheetName val="Расчёт_2005"/>
      <sheetName val="Сводный_лист"/>
      <sheetName val="Стоимости"/>
      <sheetName val=" n finansal eğri"/>
      <sheetName val="TABLO-3"/>
    </sheetNames>
    <sheetDataSet>
      <sheetData sheetId="0" refreshError="1"/>
      <sheetData sheetId="1" refreshError="1">
        <row r="16">
          <cell r="B16">
            <v>0.24</v>
          </cell>
        </row>
      </sheetData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 refreshError="1"/>
      <sheetData sheetId="59" refreshError="1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 refreshError="1"/>
      <sheetData sheetId="73" refreshError="1"/>
      <sheetData sheetId="74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бочий"/>
      <sheetName val="Содержание"/>
      <sheetName val="Финанс. калькулятор"/>
      <sheetName val="Чист. операц. доход"/>
      <sheetName val="Прямая_капит."/>
      <sheetName val="Стоим._земли"/>
      <sheetName val="Дисконт."/>
      <sheetName val="Анализ_риска"/>
      <sheetName val="Сравн._продаж"/>
      <sheetName val="Отн._анализ"/>
      <sheetName val="Стоим._стр-ва"/>
      <sheetName val="Объемы работ"/>
      <sheetName val="Оценка_износа"/>
      <sheetName val="Наилуч._использ."/>
      <sheetName val="Регрессия"/>
      <sheetName val="Макросы1"/>
      <sheetName val="Макросы2"/>
      <sheetName val="Коррект"/>
      <sheetName val="общие данные"/>
      <sheetName val="НФИк"/>
      <sheetName val="Исход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внутр. оценка"/>
      <sheetName val="коэф.анализ"/>
      <sheetName val="Модуль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ставка в Введение"/>
      <sheetName val="Таблица 1"/>
      <sheetName val="Таблица 2"/>
      <sheetName val="Таблица 3"/>
      <sheetName val="Таблица 4"/>
      <sheetName val="Таблица 5"/>
      <sheetName val="Таблица 6"/>
      <sheetName val="Таблица 8"/>
      <sheetName val="Таблица 9"/>
      <sheetName val="Таблица 10и11"/>
      <sheetName val="Ставка Аренды"/>
      <sheetName val="Коинвест"/>
      <sheetName val="ТЭ-зоны"/>
      <sheetName val="поток"/>
      <sheetName val="ДАННЫЕ"/>
      <sheetName val="Общие_данные"/>
      <sheetName val="Balance"/>
      <sheetName val="Лист3"/>
      <sheetName val="Ар2"/>
      <sheetName val="Парам"/>
      <sheetName val="Служебный"/>
      <sheetName val="Расчет_стоимости"/>
      <sheetName val="ШАБЛОН_РАСЧЕТЫ_old1"/>
      <sheetName val="Общие данные ОС"/>
      <sheetName val="Индексы г. Москва"/>
      <sheetName val="СС_зданий"/>
      <sheetName val="Список основных  на 01.04.2006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Исх. данные"/>
      <sheetName val="ЗП"/>
      <sheetName val="ПП"/>
      <sheetName val="Земля"/>
      <sheetName val="Износ"/>
      <sheetName val="Сравнит"/>
      <sheetName val="ставка"/>
      <sheetName val="дох"/>
      <sheetName val="итоги"/>
      <sheetName val="Исходные"/>
      <sheetName val="НФИк"/>
      <sheetName val="исход-итог"/>
      <sheetName val="Содержание"/>
      <sheetName val="Параметры"/>
      <sheetName val="Rev"/>
      <sheetName val="DCF"/>
      <sheetName val="TOC"/>
      <sheetName val="Стоим._стр-ва"/>
      <sheetName val="Осн_данн"/>
      <sheetName val="Цены"/>
      <sheetName val="Списки"/>
      <sheetName val="Метод остатка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оительство"/>
      <sheetName val="Словари"/>
      <sheetName val="Правила"/>
    </sheetNames>
    <sheetDataSet>
      <sheetData sheetId="0"/>
      <sheetData sheetId="1">
        <row r="5">
          <cell r="A5" t="str">
            <v>АНО</v>
          </cell>
          <cell r="B5" t="str">
            <v>да</v>
          </cell>
          <cell r="C5" t="str">
            <v>активно</v>
          </cell>
        </row>
        <row r="6">
          <cell r="B6" t="str">
            <v>АФК</v>
          </cell>
          <cell r="C6" t="str">
            <v>ст.создания</v>
          </cell>
        </row>
        <row r="7">
          <cell r="C7" t="str">
            <v>ФХД нет</v>
          </cell>
        </row>
        <row r="8">
          <cell r="C8" t="str">
            <v>банкр.</v>
          </cell>
        </row>
        <row r="9">
          <cell r="C9" t="str">
            <v>ст.ликвид.</v>
          </cell>
        </row>
        <row r="10">
          <cell r="C10" t="str">
            <v>ликвид.</v>
          </cell>
        </row>
        <row r="11">
          <cell r="C11" t="str">
            <v>продано</v>
          </cell>
        </row>
        <row r="12">
          <cell r="C12" t="str">
            <v>ст.продажи</v>
          </cell>
        </row>
        <row r="13">
          <cell r="C13" t="str">
            <v>списано</v>
          </cell>
        </row>
      </sheetData>
      <sheetData sheetId="2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. №1 Дт. задолженность"/>
      <sheetName val="Пр. №2 Кр. задолженность"/>
      <sheetName val="Пр. №3 Справочник &quot;Контрагенты&quot;"/>
      <sheetName val="НФИк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 дан"/>
      <sheetName val="Ф1"/>
      <sheetName val="Ф2"/>
      <sheetName val="ФинАнализ"/>
      <sheetName val="Трансформ"/>
      <sheetName val="Показатели"/>
      <sheetName val="Земля"/>
      <sheetName val="Земля-нов"/>
      <sheetName val="Здания-затр1"/>
      <sheetName val="Здания-затр2"/>
      <sheetName val="Здания-сравнит"/>
      <sheetName val="Здания-доход"/>
      <sheetName val="Здания-взвеш"/>
      <sheetName val="Осн. средства-затрат"/>
      <sheetName val="Незавер_стр-во"/>
      <sheetName val="Нематер. активы"/>
      <sheetName val="Долг.фин.вл"/>
      <sheetName val="Обор. средства"/>
      <sheetName val="Обязат-ва"/>
      <sheetName val="Чист. акт."/>
      <sheetName val="Премия_за_риск"/>
      <sheetName val="Выручка"/>
      <sheetName val="ДДП-1"/>
      <sheetName val="Пр_аморт"/>
      <sheetName val="ДДП-2"/>
      <sheetName val="Предпр.-сравнит. продаж"/>
      <sheetName val="Предпр.-взвеш. оценк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ощади"/>
      <sheetName val="Zemlja Neh"/>
      <sheetName val="Otapl Neh"/>
      <sheetName val="Admin Neh"/>
      <sheetName val="Ставка"/>
      <sheetName val="svod"/>
      <sheetName val="Док+Исх"/>
      <sheetName val="Расчет тарифов и выручки"/>
      <sheetName val="Группы"/>
      <sheetName val="Balance Sheet"/>
      <sheetName val="ОС"/>
      <sheetName val="СП_КОМПЛЕКС"/>
      <sheetName val="4.озеленение"/>
      <sheetName val="Inputs"/>
      <sheetName val="Пр. №3 Справочник &quot;Контрагенты&quot;"/>
      <sheetName val="НФИк"/>
      <sheetName val="Метод остатка"/>
      <sheetName val="свед"/>
      <sheetName val="Содержание"/>
      <sheetName val="Общие сведения"/>
      <sheetName val="Параметры"/>
      <sheetName val="исход-итог"/>
      <sheetName val="расход"/>
      <sheetName val="Промка"/>
      <sheetName val="Служебный"/>
      <sheetName val="3.ЗАТРАТЫ"/>
      <sheetName val="общие данные"/>
      <sheetName val="Исходное"/>
      <sheetName val="2.Продажа квартир"/>
      <sheetName val="1.ИСХ "/>
      <sheetName val="Потоки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 дан"/>
      <sheetName val="Ф1"/>
      <sheetName val="Ф2"/>
      <sheetName val="ФинАнализ"/>
      <sheetName val="Показатели"/>
      <sheetName val="Здан-затр"/>
      <sheetName val="Здан-взвеш. оценка"/>
      <sheetName val="Машины и оборудование"/>
      <sheetName val="Автотранспортные средства"/>
      <sheetName val="Прочие основные фонды"/>
      <sheetName val="Чист.ст-ть.реал-и"/>
      <sheetName val="Осн. средства-затрат"/>
      <sheetName val="Незавер_стр-во"/>
      <sheetName val="Нематер. активы"/>
      <sheetName val="Долг.фин.вл"/>
      <sheetName val="Обор. средства"/>
      <sheetName val="Обязат-ва"/>
      <sheetName val="Ставка дисконта"/>
      <sheetName val="Чист. акт."/>
      <sheetName val="Предпр.-взвеш. оценка"/>
      <sheetName val="ФОН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6">
          <cell r="D56">
            <v>2.5872571639071209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дПр"/>
      <sheetName val="Расчёт 2005"/>
      <sheetName val="МФТЦ"/>
      <sheetName val="Золотая гавань"/>
      <sheetName val="Брянцева"/>
      <sheetName val="Гражданка-Сити 1 оч."/>
      <sheetName val="Гражданка-Сити 2 оч."/>
      <sheetName val="Гражданка-Сити - 2"/>
      <sheetName val="Авангардная"/>
      <sheetName val="Полежаевский"/>
      <sheetName val="Созвездие 1 оч."/>
      <sheetName val="Созвездие 2 оч."/>
      <sheetName val="Созвездие 3 оч."/>
      <sheetName val="Пр. затр. по Созвездию-расчет"/>
      <sheetName val="пр. Славы"/>
      <sheetName val="Радуга"/>
      <sheetName val="Руднева"/>
      <sheetName val="Живой Ручей"/>
      <sheetName val="ул. Чекистов"/>
      <sheetName val="Параметры"/>
      <sheetName val="Оплата по графикам"/>
      <sheetName val="Сводная ЛССМУ"/>
      <sheetName val="Объекты_Подразделения_СтатьиДДС"/>
      <sheetName val="лист4"/>
      <sheetName val="cur_projects pl"/>
      <sheetName val="input data"/>
      <sheetName val="Расчёт_2005"/>
      <sheetName val="Золотая_гавань"/>
      <sheetName val="Гражданка-Сити_1_оч_"/>
      <sheetName val="Гражданка-Сити_2_оч_"/>
      <sheetName val="Гражданка-Сити_-_2"/>
      <sheetName val="Созвездие_1_оч_"/>
      <sheetName val="Созвездие_2_оч_"/>
      <sheetName val="Созвездие_3_оч_"/>
      <sheetName val="Пр__затр__по_Созвездию-расчет"/>
      <sheetName val="пр__Славы"/>
      <sheetName val="Живой_Ручей"/>
      <sheetName val="ул__Чекистов"/>
      <sheetName val="Оплата_по_графикам"/>
      <sheetName val="Сводная_ЛССМУ"/>
      <sheetName val="input_data"/>
      <sheetName val="cur_projects_pl"/>
      <sheetName val="Summary"/>
      <sheetName val="смета_Юшина"/>
      <sheetName val="баланс-2"/>
      <sheetName val="TABLO-3"/>
      <sheetName val="Адресная программа 13 10 05"/>
      <sheetName val="AOP Summary-2"/>
      <sheetName val="каскад,5"/>
      <sheetName val="Приложение 1"/>
      <sheetName val="бог"/>
      <sheetName val="мфтц,к.4"/>
      <sheetName val="Narratives-Subsidiarie"/>
      <sheetName val="ПМ_подписанный"/>
      <sheetName val="sheet1"/>
      <sheetName val="TEPs"/>
      <sheetName val="fitoutconfcentre"/>
      <sheetName val="Документы по сделке"/>
      <sheetName val="Полный перечень документов"/>
      <sheetName val="Документы от клиента"/>
      <sheetName val="ЛитБ"/>
      <sheetName val="Лист1-ЛССМУ"/>
      <sheetName val="статьи затрат"/>
      <sheetName val="текущие"/>
      <sheetName val="Земля"/>
      <sheetName val="Расчёт_20051"/>
      <sheetName val="Золотая_гавань1"/>
      <sheetName val="Гражданка-Сити_1_оч_1"/>
      <sheetName val="Гражданка-Сити_2_оч_1"/>
      <sheetName val="Гражданка-Сити_-_21"/>
      <sheetName val="Созвездие_1_оч_1"/>
      <sheetName val="Созвездие_2_оч_1"/>
      <sheetName val="Созвездие_3_оч_1"/>
      <sheetName val="Пр__затр__по_Созвездию-расчет1"/>
      <sheetName val="пр__Славы1"/>
      <sheetName val="Живой_Ручей1"/>
      <sheetName val="ул__Чекистов1"/>
      <sheetName val="Оплата_по_графикам1"/>
      <sheetName val="Сводная_ЛССМУ1"/>
      <sheetName val="cur_projects_pl1"/>
      <sheetName val="input_data1"/>
      <sheetName val="Адресная_программа_13_10_05"/>
      <sheetName val="Расчёт_20052"/>
      <sheetName val="Золотая_гавань2"/>
      <sheetName val="Гражданка-Сити_1_оч_2"/>
      <sheetName val="Гражданка-Сити_2_оч_2"/>
      <sheetName val="Гражданка-Сити_-_22"/>
      <sheetName val="Созвездие_1_оч_2"/>
      <sheetName val="Созвездие_2_оч_2"/>
      <sheetName val="Созвездие_3_оч_2"/>
      <sheetName val="Пр__затр__по_Созвездию-расчет2"/>
      <sheetName val="пр__Славы2"/>
      <sheetName val="Живой_Ручей2"/>
      <sheetName val="ул__Чекистов2"/>
      <sheetName val="Оплата_по_графикам2"/>
      <sheetName val="Сводная_ЛССМУ2"/>
      <sheetName val="cur_projects_pl2"/>
      <sheetName val="input_data2"/>
      <sheetName val="Адресная_программа_13_10_051"/>
      <sheetName val="AOP_Summary-2"/>
      <sheetName val="Документы_по_сделке"/>
      <sheetName val="Полный_перечень_документов"/>
      <sheetName val="Документы_от_клиента"/>
      <sheetName val="гр+"/>
      <sheetName val="Сводный-затраты"/>
      <sheetName val="Таблица"/>
      <sheetName val="finansal tamamlanma eğrisi"/>
      <sheetName val="comps"/>
    </sheetNames>
    <sheetDataSet>
      <sheetData sheetId="0" refreshError="1"/>
      <sheetData sheetId="1" refreshError="1">
        <row r="4">
          <cell r="K4">
            <v>4000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K4">
            <v>4000</v>
          </cell>
        </row>
      </sheetData>
      <sheetData sheetId="27">
        <row r="4">
          <cell r="K4">
            <v>4000</v>
          </cell>
        </row>
      </sheetData>
      <sheetData sheetId="28">
        <row r="4">
          <cell r="K4">
            <v>4000</v>
          </cell>
        </row>
      </sheetData>
      <sheetData sheetId="29">
        <row r="4">
          <cell r="K4">
            <v>4000</v>
          </cell>
        </row>
      </sheetData>
      <sheetData sheetId="30">
        <row r="4">
          <cell r="K4">
            <v>4000</v>
          </cell>
        </row>
      </sheetData>
      <sheetData sheetId="31">
        <row r="4">
          <cell r="K4">
            <v>4000</v>
          </cell>
        </row>
      </sheetData>
      <sheetData sheetId="32">
        <row r="4">
          <cell r="K4">
            <v>4000</v>
          </cell>
        </row>
      </sheetData>
      <sheetData sheetId="33">
        <row r="4">
          <cell r="K4">
            <v>4000</v>
          </cell>
        </row>
      </sheetData>
      <sheetData sheetId="34">
        <row r="4">
          <cell r="K4">
            <v>4000</v>
          </cell>
        </row>
      </sheetData>
      <sheetData sheetId="35">
        <row r="4">
          <cell r="K4">
            <v>4000</v>
          </cell>
        </row>
      </sheetData>
      <sheetData sheetId="36">
        <row r="4">
          <cell r="K4">
            <v>4000</v>
          </cell>
        </row>
      </sheetData>
      <sheetData sheetId="37">
        <row r="4">
          <cell r="K4">
            <v>4000</v>
          </cell>
        </row>
      </sheetData>
      <sheetData sheetId="38">
        <row r="4">
          <cell r="K4">
            <v>4000</v>
          </cell>
        </row>
      </sheetData>
      <sheetData sheetId="39">
        <row r="4">
          <cell r="K4">
            <v>4000</v>
          </cell>
        </row>
      </sheetData>
      <sheetData sheetId="40">
        <row r="4">
          <cell r="K4">
            <v>4000</v>
          </cell>
        </row>
      </sheetData>
      <sheetData sheetId="41">
        <row r="4">
          <cell r="K4">
            <v>4000</v>
          </cell>
        </row>
      </sheetData>
      <sheetData sheetId="42" refreshError="1"/>
      <sheetData sheetId="43" refreshError="1"/>
      <sheetData sheetId="44">
        <row r="4">
          <cell r="K4">
            <v>4000</v>
          </cell>
        </row>
      </sheetData>
      <sheetData sheetId="45">
        <row r="4">
          <cell r="K4">
            <v>4000</v>
          </cell>
        </row>
      </sheetData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 refreshError="1"/>
      <sheetData sheetId="63" refreshError="1"/>
      <sheetData sheetId="64" refreshError="1"/>
      <sheetData sheetId="65">
        <row r="4">
          <cell r="K4">
            <v>4000</v>
          </cell>
        </row>
      </sheetData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 дан"/>
      <sheetName val="Ф1"/>
      <sheetName val="Ф2"/>
      <sheetName val="ФинАнализ"/>
      <sheetName val="Трансформ"/>
      <sheetName val="Показатели"/>
      <sheetName val="Земля"/>
      <sheetName val="Земля-нов"/>
      <sheetName val="Здания-затр1"/>
      <sheetName val="Здания-затр2"/>
      <sheetName val="Здания-сравнит"/>
      <sheetName val="Здания-доход"/>
      <sheetName val="Здания-взвеш"/>
      <sheetName val="Осн. средства-затрат"/>
      <sheetName val="Незавер_стр-во"/>
      <sheetName val="Нематер. активы"/>
      <sheetName val="Долг.фин.вл"/>
      <sheetName val="Обор. средства"/>
      <sheetName val="Обязат-ва"/>
      <sheetName val="Чист. акт."/>
      <sheetName val="Премия_за_риск"/>
      <sheetName val="Выручка"/>
      <sheetName val="ДДП-1"/>
      <sheetName val="Пр_аморт"/>
      <sheetName val="ДДП-2"/>
      <sheetName val="Предпр.-сравнит. продаж"/>
      <sheetName val="Предпр.-взвеш. оценка"/>
    </sheetNames>
    <sheetDataSet>
      <sheetData sheetId="0">
        <row r="2">
          <cell r="B2">
            <v>29.9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еустранимый износ"/>
      <sheetName val="Затр подх"/>
      <sheetName val="износы"/>
      <sheetName val="здание"/>
      <sheetName val="реконструкция офис"/>
      <sheetName val="реконструкция"/>
      <sheetName val="ПП"/>
      <sheetName val="Земля ост жилье"/>
      <sheetName val="Земля_сравн"/>
      <sheetName val="Лист3"/>
      <sheetName val="Начало"/>
      <sheetName val="восст"/>
    </sheetNames>
    <sheetDataSet>
      <sheetData sheetId="0" refreshError="1"/>
      <sheetData sheetId="1"/>
      <sheetData sheetId="2" refreshError="1"/>
      <sheetData sheetId="3" refreshError="1"/>
      <sheetData sheetId="4"/>
      <sheetData sheetId="5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внутр. оценка"/>
      <sheetName val="коэф.анализ"/>
      <sheetName val="Модуль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авнит"/>
      <sheetName val="ф.из. лит а"/>
      <sheetName val="УПВС кот."/>
      <sheetName val="затр_подх"/>
      <sheetName val="Сведение"/>
      <sheetName val="исход-итог"/>
      <sheetName val="исх 1"/>
      <sheetName val="Спис_Объекты_недв"/>
      <sheetName val="Начало"/>
      <sheetName val="общие данные"/>
      <sheetName val="Const"/>
      <sheetName val="var 1"/>
      <sheetName val="КО-Инвест дду 140"/>
      <sheetName val="КО-Инв шк"/>
      <sheetName val="АДДП"/>
      <sheetName val="ОСЗ"/>
      <sheetName val="14.ДП"/>
      <sheetName val="1.ИСХ "/>
      <sheetName val="7.ЗУ ГУИОН!"/>
      <sheetName val="ИСХОДНИК"/>
      <sheetName val="свед"/>
      <sheetName val="Метод остатка"/>
      <sheetName val="общий"/>
      <sheetName val="3.ЗАТРАТЫ"/>
      <sheetName val="Исх_данные"/>
      <sheetName val="9.ДП"/>
      <sheetName val="СП_КОМПЛЕКС"/>
      <sheetName val="4.озеленение"/>
      <sheetName val="Салова лит А"/>
      <sheetName val="ЗУ ГУИОН"/>
      <sheetName val="Brif_zdanie"/>
      <sheetName val="6.Продажа квартир"/>
      <sheetName val="ПВД"/>
      <sheetName val="Содержание"/>
      <sheetName val="общее"/>
      <sheetName val="Смета"/>
      <sheetName val="дисконт"/>
      <sheetName val="Balance Sheet"/>
      <sheetName val="общие сведения"/>
      <sheetName val="Док+Исх"/>
      <sheetName val="Аренда Торговля"/>
      <sheetName val="Аренда СТО"/>
      <sheetName val="2.Продажа квартир"/>
      <sheetName val="Glossary"/>
      <sheetName val="2002(v2)"/>
      <sheetName val="Исходные данные"/>
      <sheetName val="график строительства"/>
      <sheetName val="Параметры"/>
      <sheetName val="Sheet2"/>
      <sheetName val="СРЗУ"/>
      <sheetName val="СД"/>
      <sheetName val="Ар2"/>
      <sheetName val="Лист2"/>
      <sheetName val="капитал. (78%, 16,66)"/>
      <sheetName val="Лист1"/>
      <sheetName val="Арендный_план_10.11"/>
      <sheetName val="dk"/>
      <sheetName val="восст"/>
      <sheetName val="график01.09.02"/>
      <sheetName val="Ан.-земля"/>
      <sheetName val="%%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пр~04"/>
      <sheetName val="март~04"/>
      <sheetName val="фев~04"/>
      <sheetName val="янв~04доп"/>
      <sheetName val="янв~04"/>
      <sheetName val="2фXII~03доп"/>
      <sheetName val="2фXII~03"/>
      <sheetName val="2фXI~03доп"/>
      <sheetName val="2фXI~03"/>
      <sheetName val="2фX~03доп"/>
      <sheetName val="2фX~03"/>
      <sheetName val="2фX~03 субподр"/>
      <sheetName val="2фIX~03 субподр"/>
      <sheetName val="2фIX~03"/>
      <sheetName val="2фIX~03доп"/>
      <sheetName val="2фVIII~03"/>
      <sheetName val="2фVIII~03доп"/>
      <sheetName val="2фVII~03"/>
      <sheetName val="2фVII~03доп"/>
      <sheetName val="2фVI~03"/>
      <sheetName val="2ф VI~03доп"/>
      <sheetName val="2ф V~03"/>
      <sheetName val="2ф IV~03 (2)"/>
      <sheetName val="2ф IV~03"/>
      <sheetName val="2ф  III-03"/>
      <sheetName val="2Ф II-03"/>
      <sheetName val="СМ.БЛАГОУСТР"/>
      <sheetName val="СМ.ВЫШЕ НОЛЯ"/>
      <sheetName val="Cм. НИЖЕ НОЛЯ"/>
      <sheetName val="СМ.доп.раб"/>
      <sheetName val="СМЕТАстомат."/>
      <sheetName val="СТОЛЯРКА 2 (2)"/>
      <sheetName val="СТОЛЯРКА 2"/>
      <sheetName val="СТОЛЯРКА 1"/>
      <sheetName val="матер АПРЕЛЬ"/>
      <sheetName val="М 29"/>
      <sheetName val="2фX~03доп (2)"/>
      <sheetName val="2фX~03 (2)"/>
      <sheetName val="матер НОЯБРЬ"/>
      <sheetName val="матер ЯНВАРЬ"/>
      <sheetName val="апр~04 (2)"/>
      <sheetName val="М 29 (2)"/>
      <sheetName val="матер. ОКТЯБРЬ"/>
      <sheetName val="СМ_ВЫШЕ НОЛ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оительство"/>
      <sheetName val="Словари"/>
      <sheetName val="Правила"/>
    </sheetNames>
    <sheetDataSet>
      <sheetData sheetId="0" refreshError="1"/>
      <sheetData sheetId="1">
        <row r="5">
          <cell r="A5" t="str">
            <v>АНО</v>
          </cell>
        </row>
        <row r="6">
          <cell r="A6" t="str">
            <v>АО</v>
          </cell>
        </row>
        <row r="7">
          <cell r="A7" t="str">
            <v>АОЗТ</v>
          </cell>
        </row>
        <row r="8">
          <cell r="A8" t="str">
            <v>АООТ</v>
          </cell>
        </row>
        <row r="9">
          <cell r="A9" t="str">
            <v>Ассоциация</v>
          </cell>
        </row>
        <row r="10">
          <cell r="A10" t="str">
            <v>БФ</v>
          </cell>
        </row>
        <row r="11">
          <cell r="A11" t="str">
            <v>ЗАО</v>
          </cell>
        </row>
        <row r="12">
          <cell r="A12" t="str">
            <v>НКО</v>
          </cell>
        </row>
        <row r="13">
          <cell r="A13" t="str">
            <v>НП</v>
          </cell>
        </row>
        <row r="14">
          <cell r="A14" t="str">
            <v>ОАО</v>
          </cell>
        </row>
        <row r="15">
          <cell r="A15" t="str">
            <v>ОДО</v>
          </cell>
        </row>
        <row r="16">
          <cell r="A16" t="str">
            <v>ООО</v>
          </cell>
        </row>
        <row r="17">
          <cell r="A17" t="str">
            <v>ОРО</v>
          </cell>
        </row>
        <row r="18">
          <cell r="A18" t="str">
            <v>ПИФ</v>
          </cell>
        </row>
        <row r="19">
          <cell r="A19" t="str">
            <v>ПТ</v>
          </cell>
        </row>
        <row r="20">
          <cell r="A20" t="str">
            <v>НПФ</v>
          </cell>
        </row>
        <row r="21">
          <cell r="A21" t="str">
            <v>Союз</v>
          </cell>
        </row>
        <row r="22">
          <cell r="A22" t="str">
            <v>СП</v>
          </cell>
        </row>
        <row r="23">
          <cell r="A23" t="str">
            <v>ТНВ</v>
          </cell>
        </row>
        <row r="24">
          <cell r="A24" t="str">
            <v>ТОО</v>
          </cell>
        </row>
        <row r="25">
          <cell r="A25" t="str">
            <v>Учреждение</v>
          </cell>
        </row>
        <row r="26">
          <cell r="A26" t="str">
            <v>Фонд</v>
          </cell>
        </row>
        <row r="27">
          <cell r="A27" t="str">
            <v>AB</v>
          </cell>
        </row>
        <row r="28">
          <cell r="A28" t="str">
            <v>AS</v>
          </cell>
        </row>
        <row r="29">
          <cell r="A29" t="str">
            <v>BV</v>
          </cell>
        </row>
        <row r="30">
          <cell r="A30" t="str">
            <v>CORP</v>
          </cell>
        </row>
        <row r="31">
          <cell r="A31" t="str">
            <v>DOO</v>
          </cell>
        </row>
        <row r="32">
          <cell r="A32" t="str">
            <v>GMBH</v>
          </cell>
        </row>
        <row r="33">
          <cell r="A33" t="str">
            <v>INC</v>
          </cell>
        </row>
        <row r="34">
          <cell r="A34" t="str">
            <v>LTD</v>
          </cell>
        </row>
        <row r="35">
          <cell r="A35" t="str">
            <v>LLC</v>
          </cell>
        </row>
        <row r="36">
          <cell r="A36" t="str">
            <v>SA</v>
          </cell>
        </row>
        <row r="37">
          <cell r="A37" t="str">
            <v>SRO</v>
          </cell>
        </row>
        <row r="38">
          <cell r="A38" t="str">
            <v>FZE</v>
          </cell>
        </row>
        <row r="39">
          <cell r="A39" t="str">
            <v>UAB</v>
          </cell>
        </row>
      </sheetData>
      <sheetData sheetId="2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сп-1эт"/>
      <sheetName val="сп-2эт"/>
      <sheetName val="аренда (2)"/>
      <sheetName val="квартирысор"/>
      <sheetName val="квартирывсе"/>
      <sheetName val="квартирысорт"/>
      <sheetName val="1"/>
      <sheetName val="2"/>
      <sheetName val="3"/>
      <sheetName val="исход-итог"/>
      <sheetName val="описание"/>
      <sheetName val="Начало"/>
      <sheetName val="общие данные"/>
      <sheetName val="base_4_sp_new"/>
      <sheetName val="восст"/>
      <sheetName val="затр_подх"/>
      <sheetName val="Док+Исх"/>
      <sheetName val="Параметры"/>
      <sheetName val="НФИк"/>
      <sheetName val="Balance Sheet"/>
      <sheetName val="Лист3"/>
      <sheetName val="свед"/>
      <sheetName val="СВОД"/>
      <sheetName val="Итоги"/>
      <sheetName val="ПДДС-корпуса"/>
      <sheetName val="Лист2"/>
      <sheetName val="Метод остатка"/>
      <sheetName val="APP"/>
      <sheetName val="Содержание"/>
      <sheetName val="ТЭП гостиница"/>
      <sheetName val="константы"/>
      <sheetName val="общие сведения"/>
      <sheetName val="Ставка Д"/>
      <sheetName val="Master Inputs Start Here"/>
      <sheetName val="HBS initial"/>
      <sheetName val="Доходный"/>
      <sheetName val="TMP"/>
      <sheetName val="Исх_данные"/>
      <sheetName val="Спис_Объекты_недв"/>
      <sheetName val="Средняя стоимость"/>
      <sheetName val="вводные данные"/>
      <sheetName val="Ср.пр."/>
      <sheetName val="справочник"/>
      <sheetName val="Маршал"/>
      <sheetName val="график строительства"/>
      <sheetName val="MGSN"/>
      <sheetName val="анализ"/>
      <sheetName val="Входные параметры"/>
      <sheetName val="Исходные"/>
      <sheetName val="Промка"/>
      <sheetName val="капитал. (78%, 16,66)"/>
      <sheetName val="Сибнефть"/>
      <sheetName val="Усинск_Роснефть"/>
      <sheetName val="согласование"/>
      <sheetName val="Аналоги аренд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 ТЭП "/>
      <sheetName val="График"/>
      <sheetName val="Прогнозы"/>
      <sheetName val="Затраты"/>
      <sheetName val="ТРЦ "/>
      <sheetName val="Inputs"/>
      <sheetName val="DCF"/>
      <sheetName val="Индексация 2020"/>
      <sheetName val="Индексация"/>
      <sheetName val="Y"/>
      <sheetName val="ИД2016"/>
      <sheetName val="ИД2020"/>
      <sheetName val="ИД2018"/>
      <sheetName val="DCF_rent"/>
      <sheetName val="Total"/>
      <sheetName val="Compare SP"/>
      <sheetName val="Compar2020"/>
      <sheetName val="Compar2018"/>
      <sheetName val="2020RR"/>
      <sheetName val="Fixed"/>
      <sheetName val="18RR_OPEX"/>
    </sheetNames>
    <sheetDataSet>
      <sheetData sheetId="0"/>
      <sheetData sheetId="1">
        <row r="1">
          <cell r="A1" t="str">
            <v xml:space="preserve">Строительство </v>
          </cell>
        </row>
        <row r="5">
          <cell r="A5" t="str">
            <v>Жилые объекты</v>
          </cell>
        </row>
        <row r="6">
          <cell r="A6" t="str">
            <v>Жилые дома</v>
          </cell>
        </row>
        <row r="7">
          <cell r="A7" t="str">
            <v xml:space="preserve">Распределение по очередям, % </v>
          </cell>
        </row>
        <row r="8">
          <cell r="A8" t="str">
            <v>Квартиры</v>
          </cell>
        </row>
        <row r="9">
          <cell r="A9" t="str">
            <v xml:space="preserve">Количество квартир </v>
          </cell>
        </row>
        <row r="10">
          <cell r="A10" t="str">
            <v>Средняя площадь квартир</v>
          </cell>
        </row>
        <row r="11">
          <cell r="A11" t="str">
            <v>Коммерческие объекты</v>
          </cell>
        </row>
        <row r="12">
          <cell r="A12" t="str">
            <v>Офисы</v>
          </cell>
        </row>
        <row r="13">
          <cell r="A13" t="str">
            <v>Прочие</v>
          </cell>
        </row>
        <row r="14">
          <cell r="A14" t="str">
            <v>Машиноместа</v>
          </cell>
        </row>
        <row r="15">
          <cell r="A15" t="str">
            <v>Площадь паркинга</v>
          </cell>
        </row>
        <row r="17">
          <cell r="A17" t="str">
            <v>Продолжительность очереди, лет</v>
          </cell>
        </row>
        <row r="18">
          <cell r="A18" t="str">
            <v>Продолжительность очереди, кварталов</v>
          </cell>
        </row>
        <row r="19">
          <cell r="A19" t="str">
            <v>Продолжительность строительства, кварталов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Характеристика"/>
      <sheetName val="ЗП"/>
      <sheetName val="сравнительный"/>
      <sheetName val="котировки"/>
      <sheetName val="ставка капитализации"/>
      <sheetName val="доходный"/>
      <sheetName val="согласование результатов РС"/>
      <sheetName val="Лист1"/>
      <sheetName val="Лист2"/>
      <sheetName val="Лист3"/>
      <sheetName val="Лист4"/>
      <sheetName val="Лист5"/>
      <sheetName val="Лист6"/>
    </sheetNames>
    <sheetDataSet>
      <sheetData sheetId="0"/>
      <sheetData sheetId="1" refreshError="1"/>
      <sheetData sheetId="2"/>
      <sheetData sheetId="3" refreshError="1"/>
      <sheetData sheetId="4">
        <row r="7">
          <cell r="B7">
            <v>0.11569654413034026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авн_23Н (2)"/>
      <sheetName val="Сравн 23Н_2 (2)"/>
      <sheetName val="Сравн 23Н_3 (2)"/>
      <sheetName val="Сравн 23Н_4 (2)"/>
      <sheetName val="ОБЩЕЕ"/>
      <sheetName val="мса_ОФИС"/>
      <sheetName val="Доходный_23Н_аналоги"/>
      <sheetName val="Доходный_23Н"/>
      <sheetName val="Доходный_25Н"/>
      <sheetName val="РД"/>
      <sheetName val="Лист4"/>
      <sheetName val="ИТОГО"/>
      <sheetName val="мса_СКЛАД"/>
      <sheetName val="Доходный_аналоги_склады"/>
      <sheetName val="Лист3"/>
      <sheetName val="Доходный_4Н"/>
      <sheetName val="Доходный_2Н"/>
      <sheetName val="Доходный_7Н "/>
      <sheetName val="Доходный_9Н"/>
      <sheetName val="мса_ТОРГ"/>
      <sheetName val="Доходный_аналоги_25Н_ТОРГ"/>
      <sheetName val="Сравнительный_23Н_аналоги"/>
      <sheetName val="Сравн_23Н"/>
      <sheetName val="Сравн 23Н_2"/>
      <sheetName val="Сравн 23Н_3"/>
      <sheetName val="Сравн 23Н_4"/>
      <sheetName val="Сравнительный_аналоги_СКЛАД"/>
      <sheetName val="Сравн_СКЛАД "/>
      <sheetName val="Сравн СКЛАД_2 "/>
      <sheetName val="Сравн СКЛАД_3 "/>
      <sheetName val="Лист1"/>
      <sheetName val="Сравн СКЛАД_4 "/>
      <sheetName val="Сравнительный_аналоги_ТОРГОВЛЯ"/>
      <sheetName val="Сравн_25Н-ТОРГ"/>
      <sheetName val="Сравн 25Н_2"/>
      <sheetName val="Сравн 25Н_3"/>
      <sheetName val="Сравн 25Н_4"/>
      <sheetName val="константы"/>
      <sheetName val="НФИк"/>
      <sheetName val="СВОД"/>
      <sheetName val="описание"/>
      <sheetName val="Начало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пущения"/>
      <sheetName val="Сведение"/>
      <sheetName val="Служебный"/>
      <sheetName val="Метод остатка"/>
      <sheetName val="свед"/>
      <sheetName val="общие сведения"/>
      <sheetName val="Assum."/>
      <sheetName val="Параметры"/>
      <sheetName val="рабочий"/>
      <sheetName val="общее"/>
      <sheetName val="Исходные"/>
      <sheetName val="ТЭП гостиница"/>
      <sheetName val="Баз предп"/>
      <sheetName val="общие данные"/>
      <sheetName val="ТЭП"/>
      <sheetName val="Содержание"/>
      <sheetName val="Ставка Д"/>
      <sheetName val="затр_подх"/>
      <sheetName val="исх 1"/>
      <sheetName val="исход-итог"/>
      <sheetName val="Master Inputs Start Here"/>
      <sheetName val="HBS initial"/>
      <sheetName val="восст"/>
      <sheetName val="Лист1"/>
      <sheetName val="Док+Исх"/>
      <sheetName val="ar"/>
      <sheetName val="данные"/>
      <sheetName val="ЛитБ"/>
      <sheetName val="Data"/>
      <sheetName val="Изменения"/>
      <sheetName val="1.10"/>
      <sheetName val="1.14"/>
      <sheetName val="Glossary"/>
      <sheetName val="d"/>
      <sheetName val="Исходные данные"/>
      <sheetName val="Оборудование_стоим"/>
      <sheetName val="общие_сведения"/>
      <sheetName val="Assum_"/>
      <sheetName val="Метод_остатка"/>
      <sheetName val="СРЗУ"/>
      <sheetName val="3.ЗАТРАТЫ"/>
      <sheetName val="проч ОС"/>
      <sheetName val="1"/>
      <sheetName val="Курсы"/>
      <sheetName val="Константы"/>
      <sheetName val="аналоги коттедж (2)"/>
      <sheetName val="Use"/>
      <sheetName val="общий"/>
      <sheetName val="1 Общая информация"/>
      <sheetName val="4 Смета"/>
      <sheetName val="14 Итоги"/>
      <sheetName val="7 Кредит"/>
      <sheetName val="НФИк"/>
      <sheetName val="Осн_данные"/>
      <sheetName val="Лист 1"/>
      <sheetName val="Лист 2"/>
      <sheetName val="9.ДП"/>
      <sheetName val="Кредит"/>
      <sheetName val="Аренда Торговля"/>
      <sheetName val="Аренда СТО"/>
      <sheetName val="Read me first"/>
      <sheetName val="Группы"/>
      <sheetName val="1.ИСХ"/>
      <sheetName val="документы Кириши"/>
      <sheetName val="Анализ чувствительности"/>
      <sheetName val="Свод"/>
      <sheetName val="Трансформация бу в уу(сентябрь)"/>
      <sheetName val="BS"/>
      <sheetName val="PL"/>
      <sheetName val="trust"/>
      <sheetName val="Const"/>
      <sheetName val="СП_КОМПЛЕКС"/>
      <sheetName val="4.озеленение"/>
      <sheetName val="Списки"/>
      <sheetName val="НСИ"/>
      <sheetName val="Ар2"/>
      <sheetName val="Sheet2"/>
      <sheetName val="05г_"/>
      <sheetName val="Справочники"/>
      <sheetName val="Здание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бор"/>
      <sheetName val="Асфальт  ОФ "/>
      <sheetName val="Асфальт  "/>
      <sheetName val="ГОРЯЧВодопр "/>
      <sheetName val="ГОРЯЧВодопр  (2)"/>
      <sheetName val="АКТ ГОРЯЧВодопр "/>
      <sheetName val="ПожВодопр"/>
      <sheetName val="ПожВодопр (2)"/>
      <sheetName val=" Кабель "/>
      <sheetName val=" Кабель  (2)"/>
      <sheetName val="АКТ  Кабель  "/>
      <sheetName val="Теплотрасса"/>
      <sheetName val="Теплотрасса (2)"/>
      <sheetName val="АКТ Теплотрасса "/>
      <sheetName val="АКТ Теплотрасса  (2)"/>
      <sheetName val="Водопров"/>
      <sheetName val="Водопров (2)"/>
      <sheetName val="Быт Канал"/>
      <sheetName val="Быт Канал (2)"/>
      <sheetName val="Быт Канал (3)"/>
      <sheetName val="Быт Канал Акт"/>
      <sheetName val="Ливн Канал"/>
      <sheetName val="Ливн Канал (2)"/>
      <sheetName val="Ливн Канал Акт"/>
      <sheetName val="Бетон Пол  "/>
      <sheetName val="Бетон Пол   ОФ"/>
      <sheetName val="АКТ Бетон Пол   "/>
      <sheetName val=" Подвесн Потол (5)"/>
      <sheetName val=" Подвесн Потол (4)"/>
      <sheetName val=" Подвесн Потол (3)"/>
      <sheetName val=" Подвесн Потол (2)"/>
      <sheetName val=" АКТ Подвесн Потол1"/>
      <sheetName val=" АКТ Подвесн Потол1 (2)"/>
      <sheetName val="АКТ Подвесн Потол 2"/>
      <sheetName val="  Подвесн Потол 1"/>
      <sheetName val="  Штукат"/>
      <sheetName val=" Внутр ШтукатОф"/>
      <sheetName val=" АКТ  Штукат Июль"/>
      <sheetName val=" АКТ  Штукат Август"/>
      <sheetName val=" Внутр Откосы Оф "/>
      <sheetName val=" АКТ Откосы Июль"/>
      <sheetName val=" Внутр Штукат"/>
      <sheetName val="Третьяк Желоба"/>
      <sheetName val="Третьяк 2 К-2"/>
      <sheetName val="Третьяк 2 К-1"/>
      <sheetName val=" АКТ К-2 ,К-1 Феврал"/>
      <sheetName val=" АКТ К-2 ,К-1 Март 01"/>
      <sheetName val=" Третьяк2 Ремонт"/>
      <sheetName val=" Третьяк2 Перспектива"/>
      <sheetName val="ТретьякКотельная"/>
      <sheetName val="Котельная  Оф"/>
      <sheetName val="АКТ Котельная  "/>
      <sheetName val="АКТ Котельная  Окт"/>
      <sheetName val="АКТ Котельная  Сантех"/>
      <sheetName val="Котел Зарпл"/>
      <sheetName val="Трансформаторн"/>
      <sheetName val="Трансф Зарпл"/>
      <sheetName val="АКТ Трансформ Июль"/>
      <sheetName val="Акт Трансформат "/>
      <sheetName val="АКТ Трансфрм  Окт "/>
      <sheetName val="Третьяк2 Пол "/>
      <sheetName val="АКТ Третьяк2 Пол Ноябрь"/>
      <sheetName val="АКТ Третьяк2  Декабрь"/>
      <sheetName val="АКТ Трет2 Янва 01"/>
      <sheetName val="АКТ Трет2 Март 01"/>
      <sheetName val="АКТ Трет2 Июль 01 "/>
      <sheetName val="А кт Трет4  Декабрь"/>
      <sheetName val="А кт Трет4 Январ 01"/>
      <sheetName val="А кт Трет4 Январ 01 (2)"/>
      <sheetName val="А кт Трет4 Февра"/>
      <sheetName val="А кт Трет4 Март01"/>
      <sheetName val="А кт Трет4 Август"/>
      <sheetName val="А кт Трет4 Август (2)"/>
      <sheetName val="А кт Лестн  Июль01"/>
      <sheetName val="А кт Трет 5 Декабрь"/>
      <sheetName val="А кт Трет 5 Январ"/>
      <sheetName val="А кт Трет 5 Феврал"/>
      <sheetName val="А кт Трет 5 Март01"/>
      <sheetName val="А кт Трет 6 Феврал "/>
      <sheetName val="А кт Трет 6 Март01"/>
      <sheetName val="А кт Трет 6 Июль01"/>
      <sheetName val="Цоколь"/>
      <sheetName val="Третьяк2 Отмостка"/>
      <sheetName val="Третьяк2 Кровля "/>
      <sheetName val="А ктЦоколь Ноябрь"/>
      <sheetName val="А ктЦоколь МАРТ01"/>
      <sheetName val=" Подвесн Потол"/>
      <sheetName val="Фундамент"/>
      <sheetName val="ФундаментЗП"/>
      <sheetName val="Крыша УраганАКТ-ФЕВР"/>
      <sheetName val=" Трет Фасад Смета"/>
      <sheetName val=" Трет Фасад Акт-Февр"/>
      <sheetName val=" Трет Фасад Акт-МАРТ"/>
      <sheetName val="ПожВодопрАКТ-ФЕВР-МАРТ"/>
      <sheetName val="Водопров АКТ-ДЕК"/>
      <sheetName val="Произв База АКТ-ЯНВ"/>
      <sheetName val="Пож и Хоз Вод АКТ-ЯНВ"/>
      <sheetName val="ДОП РАБ КабельТранш АКТ-ЯНВ (2)"/>
      <sheetName val="АКТ-ДЕК Произв.Цех"/>
      <sheetName val=" Подвесн Потол Акт-ЯНВ"/>
      <sheetName val="АКТ-ДЕК Произв.Цех (2)"/>
      <sheetName val=" Подвесн Потол Смета"/>
      <sheetName val=" Подвесн Потол АКТ-Февр"/>
      <sheetName val="Смета ТРЕТ.ОТДЕЛКА"/>
      <sheetName val="Диаграмма1"/>
      <sheetName val="Смета ТРЕТ.ОТДЕЛКА (5)"/>
      <sheetName val="Смета ТРЕТ.ОТДЕЛКА (6)"/>
      <sheetName val=" ТРЕТ.ОТДЕЛКА ЗП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/>
      <sheetData sheetId="7"/>
      <sheetData sheetId="8"/>
      <sheetData sheetId="9"/>
      <sheetData sheetId="10" refreshError="1"/>
      <sheetData sheetId="11"/>
      <sheetData sheetId="12"/>
      <sheetData sheetId="13" refreshError="1"/>
      <sheetData sheetId="14" refreshError="1"/>
      <sheetData sheetId="15"/>
      <sheetData sheetId="16"/>
      <sheetData sheetId="17"/>
      <sheetData sheetId="18"/>
      <sheetData sheetId="19" refreshError="1"/>
      <sheetData sheetId="20" refreshError="1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/>
      <sheetData sheetId="55" refreshError="1">
        <row r="8">
          <cell r="F8" t="str">
            <v>Е27-33</v>
          </cell>
        </row>
      </sheetData>
      <sheetData sheetId="56"/>
      <sheetData sheetId="57"/>
      <sheetData sheetId="58"/>
      <sheetData sheetId="59" refreshError="1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 refreshError="1"/>
      <sheetData sheetId="72" refreshError="1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  <sheetData sheetId="105"/>
      <sheetData sheetId="106"/>
      <sheetData sheetId="107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антех..."/>
      <sheetName val="сантех___"/>
    </sheetNames>
    <sheetDataSet>
      <sheetData sheetId="0"/>
      <sheetData sheetId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lanak"/>
      <sheetName val="Natl Consult Reg."/>
      <sheetName val="Natl Consult Reg_"/>
      <sheetName val="NASE Oil-Revenue"/>
      <sheetName val="business plan"/>
      <sheetName val="Класс"/>
      <sheetName val="кор на местоп"/>
      <sheetName val="Выручка"/>
      <sheetName val="Journals"/>
      <sheetName val="К5"/>
      <sheetName val="Предположения КАС"/>
      <sheetName val="Общ свед"/>
      <sheetName val="Const"/>
      <sheetName val="вспом"/>
      <sheetName val="Местоположение"/>
      <sheetName val="К_трафик"/>
      <sheetName val="К_удаленность_метро"/>
      <sheetName val="МБП"/>
      <sheetName val="Проводки"/>
      <sheetName val="XLR_NoRangeSheet"/>
      <sheetName val="PPE"/>
      <sheetName val="Комментарии к запросу"/>
      <sheetName val="Модель"/>
      <sheetName val="Fixed"/>
      <sheetName val="Fixed ADRs"/>
      <sheetName val="Equip"/>
      <sheetName val="Euro Fixed"/>
      <sheetName val="К_место"/>
      <sheetName val="К_линия"/>
      <sheetName val="Корр_мест_СП"/>
      <sheetName val="К трафик"/>
      <sheetName val="Корр_мест_ЗУ"/>
      <sheetName val="Корр_мест_ДП"/>
      <sheetName val="Ст"/>
      <sheetName val="ИСХ ИНФ"/>
      <sheetName val="DIN"/>
      <sheetName val="Спецодежда СИЗ"/>
      <sheetName val="Перечень Спецодежды, СИЗ"/>
      <sheetName val="4 db"/>
      <sheetName val="Info"/>
      <sheetName val="Natl_Consult_Reg_"/>
      <sheetName val="Natl_Consult_Reg_1"/>
      <sheetName val="NASE_Oil-Revenue"/>
      <sheetName val="business_plan"/>
      <sheetName val="4_db"/>
      <sheetName val="DIR"/>
      <sheetName val="Перечень договоров"/>
      <sheetName val="Список"/>
      <sheetName val="Исх ЗУ"/>
      <sheetName val="Статьи расхода"/>
      <sheetName val="ЦФО"/>
      <sheetName val="ИСХ_ИНФ"/>
      <sheetName val="Бюджет2015"/>
      <sheetName val="остатки ОН на 01 12 2015"/>
      <sheetName val="К3 Инфл"/>
      <sheetName val="Собств"/>
      <sheetName val="Исходный"/>
      <sheetName val="Расчет"/>
      <sheetName val="Поправки"/>
      <sheetName val="Место"/>
      <sheetName val="Оп. Дом"/>
      <sheetName val="Оп. Кварт"/>
      <sheetName val="Аналог 1"/>
      <sheetName val="Аналог 2"/>
      <sheetName val="Аналог 3"/>
      <sheetName val="Аналог 4"/>
      <sheetName val="Свод аналоги"/>
      <sheetName val="Премии"/>
      <sheetName val="АИЖК"/>
      <sheetName val="Лист1"/>
      <sheetName val="Лист5"/>
      <sheetName val="Проект"/>
      <sheetName val="дисконт стр-во"/>
      <sheetName val="УПСС"/>
      <sheetName val="Структура парка_2016"/>
      <sheetName val="Предположения_КАС"/>
      <sheetName val="1.1"/>
      <sheetName val="Справочники ОПУ"/>
      <sheetName val="ФМ_Приморский _2 очередь"/>
      <sheetName val="ФМ_Приморский _3 оч(1к)"/>
      <sheetName val="vec"/>
      <sheetName val="dirrectories"/>
      <sheetName val="кор_на_местоп"/>
      <sheetName val="Общ_свед"/>
      <sheetName val="Roll"/>
      <sheetName val="Natl_Consult_Reg_2"/>
      <sheetName val="Natl_Consult_Reg_3"/>
      <sheetName val="NASE_Oil-Revenue1"/>
      <sheetName val="business_plan1"/>
      <sheetName val="кор_на_местоп1"/>
      <sheetName val="Предположения_КАС1"/>
      <sheetName val="Общ_свед1"/>
      <sheetName val="Natl_Consult_Reg_4"/>
      <sheetName val="Natl_Consult_Reg_5"/>
      <sheetName val="NASE_Oil-Revenue2"/>
      <sheetName val="business_plan2"/>
      <sheetName val="кор_на_местоп2"/>
      <sheetName val="Предположения_КАС2"/>
      <sheetName val="Общ_свед2"/>
      <sheetName val="Natl_Consult_Reg_6"/>
      <sheetName val="Natl_Consult_Reg_7"/>
      <sheetName val="NASE_Oil-Revenue3"/>
      <sheetName val="business_plan3"/>
      <sheetName val="кор_на_местоп3"/>
      <sheetName val="Предположения_КАС3"/>
      <sheetName val="Общ_свед3"/>
      <sheetName val="Natl_Consult_Reg_8"/>
      <sheetName val="Natl_Consult_Reg_9"/>
      <sheetName val="NASE_Oil-Revenue4"/>
      <sheetName val="business_plan4"/>
      <sheetName val="кор_на_местоп4"/>
      <sheetName val="Предположения_КАС4"/>
      <sheetName val="Общ_свед4"/>
      <sheetName val="Статьи ДДС"/>
      <sheetName val="Sheet1"/>
      <sheetName val="sal"/>
      <sheetName val="Dashboard"/>
      <sheetName val="PwC"/>
      <sheetName val="Статьи ЦФО"/>
      <sheetName val="Приложение 2.16.1"/>
      <sheetName val="1.1 План счетов"/>
      <sheetName val="sap"/>
      <sheetName val="Laminat(OEM)ship (Price)"/>
      <sheetName val="Кедровский"/>
      <sheetName val="ИТОГ"/>
      <sheetName val="ГРП"/>
      <sheetName val="Inputs"/>
      <sheetName val="Model"/>
      <sheetName val="РС_ОФИС"/>
      <sheetName val="РС_АПАРТЫ"/>
      <sheetName val="РС_М-М"/>
      <sheetName val="РС_ПСН"/>
      <sheetName val="Checks"/>
      <sheetName val="БДДС"/>
      <sheetName val="ТЭП"/>
      <sheetName val="ТУ"/>
      <sheetName val="Кредит_JT"/>
      <sheetName val="СМР_калк"/>
      <sheetName val="темпы"/>
      <sheetName val="Продажи-СМР"/>
      <sheetName val="УПКСЗУ_2016"/>
      <sheetName val="Базовая ОРС_офис"/>
      <sheetName val="682200"/>
      <sheetName val="Округа"/>
      <sheetName val="СПофис"/>
      <sheetName val="Лист2"/>
      <sheetName val="Данные"/>
      <sheetName val="Справочники"/>
      <sheetName val="Fixed_ADRs"/>
      <sheetName val="Euro_Fixed"/>
      <sheetName val="К_трафик1"/>
      <sheetName val="ИСХ_ИНФ1"/>
      <sheetName val="Статьи_расхода"/>
      <sheetName val="Исх_ЗУ"/>
      <sheetName val="Оп__Дом"/>
      <sheetName val="Оп__Кварт"/>
      <sheetName val="Аналог_1"/>
      <sheetName val="Аналог_2"/>
      <sheetName val="Аналог_3"/>
      <sheetName val="Аналог_4"/>
      <sheetName val="Свод_аналоги"/>
      <sheetName val="дисконт_стр-во"/>
      <sheetName val="К3_Инфл"/>
      <sheetName val="Комментарии_к_запросу"/>
      <sheetName val="Перечень_договоров"/>
      <sheetName val="4_db1"/>
      <sheetName val="Спецодежда_СИЗ"/>
      <sheetName val="Перечень_Спецодежды,_СИЗ"/>
      <sheetName val="остатки_ОН_на_01_12_2015"/>
      <sheetName val="Структура_парка_2016"/>
      <sheetName val="1_1"/>
      <sheetName val="Справочники_ОПУ"/>
      <sheetName val="ФМ_Приморский__2_очередь"/>
      <sheetName val="ФМ_Приморский__3_оч(1к)"/>
      <sheetName val="Статьи_ЦФО"/>
      <sheetName val="Приложение_2_16_1"/>
      <sheetName val="1_1_План_счетов"/>
      <sheetName val="Статьи_ДДС"/>
      <sheetName val="Laminat(OEM)ship_(Price)"/>
      <sheetName val="Базовая_ОРС_офис"/>
      <sheetName val="описание"/>
      <sheetName val="Корректировки"/>
      <sheetName val="Вводные"/>
      <sheetName val="SUIVI EFFECTIFS"/>
      <sheetName val="#¡REF"/>
      <sheetName val="EFFECT."/>
      <sheetName val="Tons"/>
      <sheetName val="CAB 1998"/>
      <sheetName val="Vendas Tons"/>
      <sheetName val="C.Estr."/>
      <sheetName val="COSTAB97"/>
      <sheetName val="тип данных"/>
      <sheetName val="организации"/>
      <sheetName val="Справочник "/>
      <sheetName val="1.1 Inputs"/>
      <sheetName val="Списки"/>
      <sheetName val="сервис"/>
      <sheetName val="МД1"/>
      <sheetName val="Свод_окт 2019"/>
      <sheetName val="по Проектам"/>
      <sheetName val="Заявка_Свод"/>
      <sheetName val="ВС"/>
      <sheetName val="РК"/>
      <sheetName val="Новый справочник статей"/>
      <sheetName val="СА_12.03.20_"/>
      <sheetName val="LIST"/>
      <sheetName val="WACC - Europe (by M. Shinder)"/>
      <sheetName val="3.4 Инвестиции"/>
      <sheetName val="4_db2"/>
      <sheetName val="Статьи_расхода1"/>
      <sheetName val="Fixed_ADRs1"/>
      <sheetName val="Euro_Fixed1"/>
      <sheetName val="Комментарии_к_запросу1"/>
      <sheetName val="К_трафик2"/>
      <sheetName val="ИСХ_ИНФ2"/>
      <sheetName val="остатки_ОН_на_01_12_20151"/>
      <sheetName val="Спецодежда_СИЗ1"/>
      <sheetName val="Перечень_Спецодежды,_СИЗ1"/>
      <sheetName val="Перечень_договоров1"/>
      <sheetName val="Исх_ЗУ1"/>
      <sheetName val="К3_Инфл1"/>
      <sheetName val="Оп__Дом1"/>
      <sheetName val="Оп__Кварт1"/>
      <sheetName val="Аналог_11"/>
      <sheetName val="Аналог_21"/>
      <sheetName val="Аналог_31"/>
      <sheetName val="Аналог_41"/>
      <sheetName val="Свод_аналоги1"/>
      <sheetName val="1_11"/>
      <sheetName val="Справочники_ОПУ1"/>
      <sheetName val="Структура_парка_20161"/>
      <sheetName val="дисконт_стр-во1"/>
      <sheetName val="5"/>
      <sheetName val="Отчетность (Радиоволна)"/>
      <sheetName val="Корр_ТоргОф"/>
      <sheetName val="Корр_ЗУ"/>
      <sheetName val="CAMPAIGN AVERAGE F"/>
      <sheetName val="15+"/>
      <sheetName val="Справочник статей"/>
      <sheetName val="Анализ расх."/>
      <sheetName val="Признак"/>
      <sheetName val="Natl_Consult_Reg_10"/>
      <sheetName val="Natl_Consult_Reg_11"/>
      <sheetName val="NASE_Oil-Revenue5"/>
      <sheetName val="business_plan5"/>
      <sheetName val="кор_на_местоп5"/>
      <sheetName val="Предположения_КАС5"/>
      <sheetName val="Общ_свед5"/>
      <sheetName val="ФМ_Приморский__2_очередь1"/>
      <sheetName val="ФМ_Приморский__3_оч(1к)1"/>
      <sheetName val="Laminat(OEM)ship_(Price)1"/>
      <sheetName val="Статьи_ДДС1"/>
      <sheetName val="Статьи_ЦФО1"/>
      <sheetName val="Приложение_2_16_11"/>
      <sheetName val="1_1_План_счетов1"/>
      <sheetName val="Базовая_ОРС_офис1"/>
      <sheetName val="SUIVI_EFFECTIFS"/>
      <sheetName val="EFFECT_"/>
      <sheetName val="CAB_1998"/>
      <sheetName val="Vendas_Tons"/>
      <sheetName val="C_Estr_"/>
      <sheetName val="тип_данных"/>
      <sheetName val="Справочник_"/>
      <sheetName val="1_1_Inputs"/>
      <sheetName val="C.1.СF_КП_свод"/>
      <sheetName val="summar of bkbuilding"/>
      <sheetName val="allocations"/>
      <sheetName val="charts to pull from"/>
      <sheetName val="1x1"/>
      <sheetName val="Top orders"/>
      <sheetName val="price sensitivity"/>
      <sheetName val="float nums"/>
      <sheetName val="коммуникации"/>
      <sheetName val="место_тип_нас_пункт"/>
      <sheetName val="состояние"/>
      <sheetName val="материал стен"/>
      <sheetName val="Аналоги_продажа"/>
      <sheetName val="5ЛП "/>
      <sheetName val="Справочники для ССП"/>
      <sheetName val="Свод_окт_2019"/>
      <sheetName val="по_Проектам"/>
      <sheetName val="Новый_справочник_статей"/>
      <sheetName val="СА_12_03_20_"/>
      <sheetName val="Кор_местопол"/>
      <sheetName val="MAIN"/>
      <sheetName val="Поправки_СП"/>
      <sheetName val="4_db3"/>
      <sheetName val="Статьи_расхода2"/>
      <sheetName val="Fixed_ADRs2"/>
      <sheetName val="Euro_Fixed2"/>
      <sheetName val="Комментарии_к_запросу2"/>
      <sheetName val="К_трафик3"/>
      <sheetName val="ИСХ_ИНФ3"/>
      <sheetName val="остатки_ОН_на_01_12_20152"/>
      <sheetName val="Спецодежда_СИЗ2"/>
      <sheetName val="Перечень_Спецодежды,_СИЗ2"/>
      <sheetName val="Перечень_договоров2"/>
      <sheetName val="Исх_ЗУ2"/>
      <sheetName val="К3_Инфл2"/>
      <sheetName val="Оп__Дом2"/>
      <sheetName val="Оп__Кварт2"/>
      <sheetName val="Аналог_12"/>
      <sheetName val="Аналог_22"/>
      <sheetName val="Аналог_32"/>
      <sheetName val="Аналог_42"/>
      <sheetName val="Свод_аналоги2"/>
      <sheetName val="1_12"/>
      <sheetName val="Справочники_ОПУ2"/>
      <sheetName val="Структура_парка_20162"/>
      <sheetName val="дисконт_стр-во2"/>
      <sheetName val="3_4_Инвестиции"/>
      <sheetName val="Справочник_статей"/>
      <sheetName val="материал_стен"/>
      <sheetName val="5ЛП_"/>
      <sheetName val="SUM"/>
      <sheetName val="график_1P"/>
      <sheetName val="5.СПРАВОЧНИКИ"/>
      <sheetName val="Подразделения _МВЗ"/>
      <sheetName val="Продажи"/>
      <sheetName val="СПР"/>
      <sheetName val="Booked Exposure"/>
      <sheetName val="Декабрь"/>
      <sheetName val="тыс"/>
      <sheetName val="прогноз янв"/>
      <sheetName val="Лист3"/>
      <sheetName val="Snapshot"/>
      <sheetName val="Prices"/>
      <sheetName val="SpanAdv"/>
      <sheetName val="MediMod"/>
      <sheetName val="Subfed SpB"/>
      <sheetName val="март"/>
      <sheetName val="Справочники_для_ССП"/>
      <sheetName val="Словари"/>
      <sheetName val="Proforma"/>
      <sheetName val="Style Summary"/>
      <sheetName val="Natl_Consult_Reg_14"/>
      <sheetName val="Natl_Consult_Reg_15"/>
      <sheetName val="NASE_Oil-Revenue7"/>
      <sheetName val="business_plan7"/>
      <sheetName val="Предположения_КАС7"/>
      <sheetName val="кор_на_местоп7"/>
      <sheetName val="Общ_свед7"/>
      <sheetName val="ФМ_Приморский__2_очередь2"/>
      <sheetName val="ФМ_Приморский__3_оч(1к)2"/>
      <sheetName val="Статьи_ЦФО2"/>
      <sheetName val="Приложение_2_16_12"/>
      <sheetName val="1_1_План_счетов2"/>
      <sheetName val="Статьи_ДДС2"/>
      <sheetName val="Laminat(OEM)ship_(Price)2"/>
      <sheetName val="SUIVI_EFFECTIFS2"/>
      <sheetName val="EFFECT_2"/>
      <sheetName val="CAB_19982"/>
      <sheetName val="Vendas_Tons2"/>
      <sheetName val="C_Estr_2"/>
      <sheetName val="Базовая_ОРС_офис2"/>
      <sheetName val="тип_данных2"/>
      <sheetName val="Справочник_2"/>
      <sheetName val="1_1_Inputs2"/>
      <sheetName val="Natl_Consult_Reg_12"/>
      <sheetName val="Natl_Consult_Reg_13"/>
      <sheetName val="NASE_Oil-Revenue6"/>
      <sheetName val="business_plan6"/>
      <sheetName val="Предположения_КАС6"/>
      <sheetName val="кор_на_местоп6"/>
      <sheetName val="Общ_свед6"/>
      <sheetName val="SUIVI_EFFECTIFS1"/>
      <sheetName val="EFFECT_1"/>
      <sheetName val="CAB_19981"/>
      <sheetName val="Vendas_Tons1"/>
      <sheetName val="C_Estr_1"/>
      <sheetName val="тип_данных1"/>
      <sheetName val="Справочник_1"/>
      <sheetName val="1_1_Inputs1"/>
      <sheetName val="реестр"/>
      <sheetName val="ЗУ"/>
      <sheetName val="3. РМ_ЗС_Inp2023"/>
      <sheetName val="Base"/>
      <sheetName val="Доходы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>
        <row r="61">
          <cell r="D61">
            <v>0</v>
          </cell>
        </row>
      </sheetData>
      <sheetData sheetId="86">
        <row r="61">
          <cell r="D61">
            <v>0</v>
          </cell>
        </row>
      </sheetData>
      <sheetData sheetId="87">
        <row r="61">
          <cell r="D61">
            <v>0</v>
          </cell>
        </row>
      </sheetData>
      <sheetData sheetId="88">
        <row r="61">
          <cell r="D61">
            <v>0</v>
          </cell>
        </row>
      </sheetData>
      <sheetData sheetId="89">
        <row r="61">
          <cell r="D61">
            <v>0</v>
          </cell>
        </row>
      </sheetData>
      <sheetData sheetId="90">
        <row r="61">
          <cell r="D61">
            <v>0</v>
          </cell>
        </row>
      </sheetData>
      <sheetData sheetId="91">
        <row r="61">
          <cell r="D61">
            <v>0</v>
          </cell>
        </row>
      </sheetData>
      <sheetData sheetId="92">
        <row r="61">
          <cell r="D61">
            <v>0</v>
          </cell>
        </row>
      </sheetData>
      <sheetData sheetId="93">
        <row r="61">
          <cell r="D61">
            <v>0</v>
          </cell>
        </row>
      </sheetData>
      <sheetData sheetId="94">
        <row r="61">
          <cell r="D61">
            <v>0</v>
          </cell>
        </row>
      </sheetData>
      <sheetData sheetId="95">
        <row r="61">
          <cell r="D61">
            <v>0</v>
          </cell>
        </row>
      </sheetData>
      <sheetData sheetId="96">
        <row r="61">
          <cell r="D61">
            <v>0</v>
          </cell>
        </row>
      </sheetData>
      <sheetData sheetId="97">
        <row r="61">
          <cell r="D61">
            <v>0</v>
          </cell>
        </row>
      </sheetData>
      <sheetData sheetId="98">
        <row r="61">
          <cell r="D61">
            <v>0</v>
          </cell>
        </row>
      </sheetData>
      <sheetData sheetId="99">
        <row r="61">
          <cell r="D61">
            <v>0</v>
          </cell>
        </row>
      </sheetData>
      <sheetData sheetId="100">
        <row r="61">
          <cell r="D61">
            <v>0</v>
          </cell>
        </row>
      </sheetData>
      <sheetData sheetId="101">
        <row r="61">
          <cell r="D61">
            <v>0</v>
          </cell>
        </row>
      </sheetData>
      <sheetData sheetId="102">
        <row r="61">
          <cell r="D61">
            <v>0</v>
          </cell>
        </row>
      </sheetData>
      <sheetData sheetId="103">
        <row r="61">
          <cell r="D61">
            <v>0</v>
          </cell>
        </row>
      </sheetData>
      <sheetData sheetId="104">
        <row r="61">
          <cell r="D61">
            <v>0</v>
          </cell>
        </row>
      </sheetData>
      <sheetData sheetId="105">
        <row r="61">
          <cell r="D61">
            <v>0</v>
          </cell>
        </row>
      </sheetData>
      <sheetData sheetId="106">
        <row r="61">
          <cell r="D61">
            <v>0</v>
          </cell>
        </row>
      </sheetData>
      <sheetData sheetId="107">
        <row r="61">
          <cell r="D61">
            <v>0</v>
          </cell>
        </row>
      </sheetData>
      <sheetData sheetId="108">
        <row r="61">
          <cell r="D61">
            <v>0</v>
          </cell>
        </row>
      </sheetData>
      <sheetData sheetId="109">
        <row r="61">
          <cell r="D61">
            <v>0</v>
          </cell>
        </row>
      </sheetData>
      <sheetData sheetId="110">
        <row r="61">
          <cell r="D61">
            <v>0</v>
          </cell>
        </row>
      </sheetData>
      <sheetData sheetId="111">
        <row r="61">
          <cell r="D61">
            <v>0</v>
          </cell>
        </row>
      </sheetData>
      <sheetData sheetId="112">
        <row r="61">
          <cell r="D61">
            <v>0</v>
          </cell>
        </row>
      </sheetData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>
        <row r="61">
          <cell r="D61">
            <v>0</v>
          </cell>
        </row>
      </sheetData>
      <sheetData sheetId="149">
        <row r="61">
          <cell r="D61">
            <v>0</v>
          </cell>
        </row>
      </sheetData>
      <sheetData sheetId="150">
        <row r="61">
          <cell r="D61">
            <v>0</v>
          </cell>
        </row>
      </sheetData>
      <sheetData sheetId="151">
        <row r="61">
          <cell r="D61">
            <v>0</v>
          </cell>
        </row>
      </sheetData>
      <sheetData sheetId="152">
        <row r="61">
          <cell r="D61">
            <v>0</v>
          </cell>
        </row>
      </sheetData>
      <sheetData sheetId="153">
        <row r="61">
          <cell r="D61">
            <v>0</v>
          </cell>
        </row>
      </sheetData>
      <sheetData sheetId="154">
        <row r="61">
          <cell r="D61">
            <v>0</v>
          </cell>
        </row>
      </sheetData>
      <sheetData sheetId="155">
        <row r="61">
          <cell r="D61">
            <v>0</v>
          </cell>
        </row>
      </sheetData>
      <sheetData sheetId="156">
        <row r="61">
          <cell r="D61">
            <v>0</v>
          </cell>
        </row>
      </sheetData>
      <sheetData sheetId="157">
        <row r="61">
          <cell r="D61">
            <v>0</v>
          </cell>
        </row>
      </sheetData>
      <sheetData sheetId="158">
        <row r="61">
          <cell r="D61">
            <v>0</v>
          </cell>
        </row>
      </sheetData>
      <sheetData sheetId="159">
        <row r="61">
          <cell r="D61">
            <v>0</v>
          </cell>
        </row>
      </sheetData>
      <sheetData sheetId="160">
        <row r="61">
          <cell r="D61">
            <v>0</v>
          </cell>
        </row>
      </sheetData>
      <sheetData sheetId="161">
        <row r="61">
          <cell r="D61">
            <v>0</v>
          </cell>
        </row>
      </sheetData>
      <sheetData sheetId="162">
        <row r="61">
          <cell r="D61">
            <v>0</v>
          </cell>
        </row>
      </sheetData>
      <sheetData sheetId="163">
        <row r="61">
          <cell r="D61">
            <v>0</v>
          </cell>
        </row>
      </sheetData>
      <sheetData sheetId="164">
        <row r="61">
          <cell r="D61">
            <v>0</v>
          </cell>
        </row>
      </sheetData>
      <sheetData sheetId="165">
        <row r="61">
          <cell r="D61">
            <v>0</v>
          </cell>
        </row>
      </sheetData>
      <sheetData sheetId="166">
        <row r="61">
          <cell r="D61">
            <v>0</v>
          </cell>
        </row>
      </sheetData>
      <sheetData sheetId="167">
        <row r="61">
          <cell r="D61">
            <v>0</v>
          </cell>
        </row>
      </sheetData>
      <sheetData sheetId="168">
        <row r="61">
          <cell r="D61">
            <v>0</v>
          </cell>
        </row>
      </sheetData>
      <sheetData sheetId="169">
        <row r="61">
          <cell r="D61">
            <v>0</v>
          </cell>
        </row>
      </sheetData>
      <sheetData sheetId="170">
        <row r="61">
          <cell r="D61">
            <v>0</v>
          </cell>
        </row>
      </sheetData>
      <sheetData sheetId="171">
        <row r="61">
          <cell r="D61">
            <v>0</v>
          </cell>
        </row>
      </sheetData>
      <sheetData sheetId="172">
        <row r="61">
          <cell r="D61">
            <v>0</v>
          </cell>
        </row>
      </sheetData>
      <sheetData sheetId="173">
        <row r="61">
          <cell r="D61">
            <v>0</v>
          </cell>
        </row>
      </sheetData>
      <sheetData sheetId="174">
        <row r="61">
          <cell r="D61">
            <v>0</v>
          </cell>
        </row>
      </sheetData>
      <sheetData sheetId="175">
        <row r="61">
          <cell r="D61">
            <v>0</v>
          </cell>
        </row>
      </sheetData>
      <sheetData sheetId="176">
        <row r="61">
          <cell r="D61">
            <v>0</v>
          </cell>
        </row>
      </sheetData>
      <sheetData sheetId="177">
        <row r="61">
          <cell r="D61">
            <v>0</v>
          </cell>
        </row>
      </sheetData>
      <sheetData sheetId="178">
        <row r="61">
          <cell r="D61">
            <v>0</v>
          </cell>
        </row>
      </sheetData>
      <sheetData sheetId="179">
        <row r="61">
          <cell r="D61">
            <v>0</v>
          </cell>
        </row>
      </sheetData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>
        <row r="61">
          <cell r="D61">
            <v>0</v>
          </cell>
        </row>
      </sheetData>
      <sheetData sheetId="199">
        <row r="61">
          <cell r="D61">
            <v>0</v>
          </cell>
        </row>
      </sheetData>
      <sheetData sheetId="200">
        <row r="61">
          <cell r="D61">
            <v>0</v>
          </cell>
        </row>
      </sheetData>
      <sheetData sheetId="201" refreshError="1"/>
      <sheetData sheetId="202">
        <row r="61">
          <cell r="D61">
            <v>0</v>
          </cell>
        </row>
      </sheetData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>
        <row r="61">
          <cell r="D61">
            <v>0</v>
          </cell>
        </row>
      </sheetData>
      <sheetData sheetId="209">
        <row r="61">
          <cell r="D61">
            <v>0</v>
          </cell>
        </row>
      </sheetData>
      <sheetData sheetId="210">
        <row r="61">
          <cell r="D61">
            <v>0</v>
          </cell>
        </row>
      </sheetData>
      <sheetData sheetId="211">
        <row r="61">
          <cell r="D61">
            <v>0</v>
          </cell>
        </row>
      </sheetData>
      <sheetData sheetId="212">
        <row r="61">
          <cell r="D61">
            <v>0</v>
          </cell>
        </row>
      </sheetData>
      <sheetData sheetId="213">
        <row r="61">
          <cell r="D61">
            <v>0</v>
          </cell>
        </row>
      </sheetData>
      <sheetData sheetId="214">
        <row r="61">
          <cell r="D61">
            <v>0</v>
          </cell>
        </row>
      </sheetData>
      <sheetData sheetId="215">
        <row r="61">
          <cell r="D61">
            <v>0</v>
          </cell>
        </row>
      </sheetData>
      <sheetData sheetId="216">
        <row r="61">
          <cell r="D61">
            <v>0</v>
          </cell>
        </row>
      </sheetData>
      <sheetData sheetId="217">
        <row r="61">
          <cell r="D61">
            <v>0</v>
          </cell>
        </row>
      </sheetData>
      <sheetData sheetId="218">
        <row r="61">
          <cell r="D61">
            <v>0</v>
          </cell>
        </row>
      </sheetData>
      <sheetData sheetId="219">
        <row r="61">
          <cell r="D61">
            <v>0</v>
          </cell>
        </row>
      </sheetData>
      <sheetData sheetId="220">
        <row r="61">
          <cell r="D61">
            <v>0</v>
          </cell>
        </row>
      </sheetData>
      <sheetData sheetId="221">
        <row r="61">
          <cell r="D61">
            <v>0</v>
          </cell>
        </row>
      </sheetData>
      <sheetData sheetId="222">
        <row r="61">
          <cell r="D61">
            <v>0</v>
          </cell>
        </row>
      </sheetData>
      <sheetData sheetId="223">
        <row r="61">
          <cell r="D61">
            <v>0</v>
          </cell>
        </row>
      </sheetData>
      <sheetData sheetId="224">
        <row r="61">
          <cell r="D61">
            <v>0</v>
          </cell>
        </row>
      </sheetData>
      <sheetData sheetId="225">
        <row r="61">
          <cell r="D61">
            <v>0</v>
          </cell>
        </row>
      </sheetData>
      <sheetData sheetId="226">
        <row r="61">
          <cell r="D61">
            <v>0</v>
          </cell>
        </row>
      </sheetData>
      <sheetData sheetId="227">
        <row r="61">
          <cell r="D61">
            <v>0</v>
          </cell>
        </row>
      </sheetData>
      <sheetData sheetId="228">
        <row r="61">
          <cell r="D61">
            <v>0</v>
          </cell>
        </row>
      </sheetData>
      <sheetData sheetId="229">
        <row r="61">
          <cell r="D61">
            <v>0</v>
          </cell>
        </row>
      </sheetData>
      <sheetData sheetId="230">
        <row r="61">
          <cell r="D61">
            <v>0</v>
          </cell>
        </row>
      </sheetData>
      <sheetData sheetId="231">
        <row r="61">
          <cell r="D61">
            <v>0</v>
          </cell>
        </row>
      </sheetData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/>
      <sheetData sheetId="280"/>
      <sheetData sheetId="281"/>
      <sheetData sheetId="282"/>
      <sheetData sheetId="283" refreshError="1"/>
      <sheetData sheetId="284"/>
      <sheetData sheetId="285" refreshError="1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/>
      <sheetData sheetId="332" refreshError="1"/>
      <sheetData sheetId="333" refreshError="1"/>
      <sheetData sheetId="334" refreshError="1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 refreshError="1"/>
      <sheetData sheetId="374" refreshError="1"/>
      <sheetData sheetId="375" refreshError="1"/>
      <sheetData sheetId="376" refreshError="1"/>
      <sheetData sheetId="377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бочий"/>
      <sheetName val="Содержание"/>
      <sheetName val="Финанс. калькулятор"/>
      <sheetName val="Чист. операц. доход"/>
      <sheetName val="Прямая_капит."/>
      <sheetName val="Стоим._земли"/>
      <sheetName val="Дисконт."/>
      <sheetName val="Анализ_риска"/>
      <sheetName val="Сравн._продаж"/>
      <sheetName val="Отн._анализ"/>
      <sheetName val="Стоим._стр-ва"/>
      <sheetName val="Объемы работ"/>
      <sheetName val="Оценка_износа"/>
      <sheetName val="Наилуч._использ."/>
      <sheetName val="Регрессия"/>
      <sheetName val="Макросы1"/>
      <sheetName val="Макросы2"/>
      <sheetName val="аренда"/>
      <sheetName val="оценка"/>
      <sheetName val="мса_СКЛАД"/>
      <sheetName val="Лист1"/>
      <sheetName val="Коррект"/>
      <sheetName val="общие данные"/>
      <sheetName val="НФИк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инанс. калькулятор"/>
      <sheetName val="Начало"/>
      <sheetName val="Program1"/>
      <sheetName val="Program2"/>
      <sheetName val="Реконстр. отчет"/>
      <sheetName val="Прямая капит."/>
      <sheetName val="активы"/>
      <sheetName val="ДоходникМаг"/>
      <sheetName val="ДоходникСклад"/>
      <sheetName val="ПАкниги"/>
      <sheetName val="ПАрынок"/>
      <sheetName val="Денпоток"/>
      <sheetName val="дог_аренды"/>
      <sheetName val="У.Е."/>
      <sheetName val="Дисконт."/>
      <sheetName val="Сравн. продаж"/>
      <sheetName val="Отн. сравн. анализ"/>
      <sheetName val="Регрессия"/>
      <sheetName val="Наилуч. использ."/>
      <sheetName val="Анализ риска"/>
      <sheetName val="Стоим. земли"/>
      <sheetName val="Стоим. стр-ва"/>
      <sheetName val="Оценка износа"/>
      <sheetName val="Приложение 1"/>
      <sheetName val="восст"/>
      <sheetName val="Лист1"/>
      <sheetName val="Аренда_офисы"/>
      <sheetName val="затр_подх"/>
      <sheetName val="6.Продажа квартир"/>
      <sheetName val="3.ЗАТРАТЫ"/>
      <sheetName val="1.ИСХ"/>
      <sheetName val="документы Кириши"/>
      <sheetName val="Константы"/>
      <sheetName val="9.ДП"/>
      <sheetName val="VFI"/>
      <sheetName val="LTRate"/>
      <sheetName val="Ки"/>
      <sheetName val="Regions"/>
      <sheetName val="Tab1"/>
      <sheetName val="Tab2-X"/>
      <sheetName val="Tab2-1"/>
      <sheetName val="Tab3"/>
      <sheetName val="CAD"/>
      <sheetName val="график01.09.02"/>
      <sheetName val="график строительства"/>
      <sheetName val="Служебный"/>
      <sheetName val="Док+Исх"/>
      <sheetName val="Спис_Объекты_недв"/>
      <sheetName val="Метод остатка"/>
      <sheetName val="свед"/>
      <sheetName val="общее"/>
      <sheetName val="К_книги"/>
      <sheetName val="Glossary"/>
      <sheetName val="14.ДП"/>
      <sheetName val="2.Продажа квартир"/>
      <sheetName val="СП_КОМПЛЕКС"/>
      <sheetName val="4.озеленение"/>
      <sheetName val="Параметры"/>
      <sheetName val="стр_пар2"/>
      <sheetName val="Sheet2"/>
      <sheetName val="Хран сах "/>
      <sheetName val="Инвест.план к БДДС"/>
      <sheetName val="Фин. вложения"/>
      <sheetName val="Хотмыжск"/>
      <sheetName val="Поступления"/>
      <sheetName val="MACRO"/>
      <sheetName val="Кред. задолж."/>
      <sheetName val="Изменения"/>
      <sheetName val="Прочий товар"/>
      <sheetName val=" БДДС"/>
      <sheetName val="Отгрузка"/>
      <sheetName val="ЛитБ"/>
      <sheetName val="Содержание"/>
      <sheetName val="Лист2"/>
      <sheetName val="НФИк"/>
      <sheetName val="3.ЗУ "/>
      <sheetName val="Инд"/>
      <sheetName val="Balance Sheet"/>
      <sheetName val="Income Statement"/>
      <sheetName val="1.ИСХ "/>
      <sheetName val="Ставка Д"/>
      <sheetName val="Актив ПРП"/>
      <sheetName val="Пассив ПРП"/>
      <sheetName val="Print Summary"/>
      <sheetName val="справочник"/>
      <sheetName val="TasAt"/>
      <sheetName val="Осн_данн"/>
      <sheetName val="СВОД"/>
      <sheetName val="инфо"/>
      <sheetName val="от закзчика"/>
      <sheetName val="Read me first"/>
      <sheetName val="ЗП"/>
      <sheetName val="исход"/>
      <sheetName val="Сравнение продаж"/>
      <sheetName val="Финанс__калькулятор"/>
      <sheetName val="Реконстр__отчет"/>
      <sheetName val="Прямая_капит_"/>
      <sheetName val="У_Е_"/>
      <sheetName val="Дисконт_"/>
      <sheetName val="Сравн__продаж"/>
      <sheetName val="Отн__сравн__анализ"/>
      <sheetName val="Наилуч__использ_"/>
      <sheetName val="Анализ_риска"/>
      <sheetName val="Стоим__земли"/>
      <sheetName val="Стоим__стр-ва"/>
      <sheetName val="Оценка_износа"/>
      <sheetName val="Приложение_1"/>
      <sheetName val="1_ИСХ"/>
      <sheetName val="документы_Кириши"/>
      <sheetName val="6_Продажа_квартир"/>
      <sheetName val="3_ЗАТРАТЫ"/>
      <sheetName val="9_ДП"/>
      <sheetName val="Метод_остатка"/>
      <sheetName val="график01_09_02"/>
      <sheetName val="график_строительства"/>
      <sheetName val="14_ДП"/>
      <sheetName val="2_Продажа_квартир"/>
      <sheetName val="4_озеленение"/>
      <sheetName val="Balance_Sheet"/>
      <sheetName val="Income_Statement"/>
      <sheetName val="Хран_сах_"/>
      <sheetName val="Инвест_план_к_БДДС"/>
      <sheetName val="Фин__вложения"/>
      <sheetName val="Кред__задолж_"/>
      <sheetName val="Прочий_товар"/>
      <sheetName val="_БДДС"/>
      <sheetName val="3_ЗУ_"/>
      <sheetName val="Ставка_Д"/>
      <sheetName val="1_ИСХ_"/>
      <sheetName val="Read_me_first"/>
      <sheetName val="Актив_ПРП"/>
      <sheetName val="Пассив_ПРП"/>
      <sheetName val="от_закзчика"/>
      <sheetName val="Сравнение_продаж"/>
      <sheetName val="Списки"/>
      <sheetName val="Группы"/>
      <sheetName val="Курсы"/>
      <sheetName val="Курсы+"/>
      <sheetName val="Согласование "/>
      <sheetName val="%%"/>
      <sheetName val="Sheet5"/>
      <sheetName val="мса_СКЛАД"/>
      <sheetName val="1"/>
      <sheetName val="Список ТГ"/>
      <sheetName val="согласование"/>
    </sheetNames>
    <sheetDataSet>
      <sheetData sheetId="0">
        <row r="7">
          <cell r="J7">
            <v>28.05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едприятия"/>
      <sheetName val="Лист2"/>
      <sheetName val="Лист3"/>
      <sheetName val="Лист1"/>
      <sheetName val="сентябрь"/>
      <sheetName val="август"/>
      <sheetName val="июль"/>
      <sheetName val="июнь"/>
      <sheetName val="май"/>
      <sheetName val="апрель"/>
      <sheetName val="март"/>
      <sheetName val="февраль"/>
      <sheetName val="январь"/>
      <sheetName val="Журнал конфликтов"/>
    </sheetNames>
    <sheetDataSet>
      <sheetData sheetId="0" refreshError="1">
        <row r="2">
          <cell r="C2" t="str">
            <v>1 А/К  УТТ</v>
          </cell>
        </row>
        <row r="3">
          <cell r="C3" t="str">
            <v>1-Й ОТРЯД УГПС УВД</v>
          </cell>
        </row>
        <row r="4">
          <cell r="C4" t="str">
            <v>2 А/К  УТТ</v>
          </cell>
        </row>
        <row r="5">
          <cell r="C5" t="str">
            <v>21-ТОВАРЫ СЧ.41/3</v>
          </cell>
        </row>
        <row r="6">
          <cell r="C6" t="str">
            <v>22-ТОВАРЫ СЧ.41/4</v>
          </cell>
        </row>
        <row r="7">
          <cell r="C7" t="str">
            <v>3 А/К  УТТ</v>
          </cell>
        </row>
        <row r="8">
          <cell r="C8" t="str">
            <v>47-ДЕФЕКТ.ЛАБОРАТОРИЯ</v>
          </cell>
        </row>
        <row r="9">
          <cell r="C9" t="str">
            <v>48-ВЦ</v>
          </cell>
        </row>
        <row r="10">
          <cell r="C10" t="str">
            <v>50-ТАРА СЧ.10/6</v>
          </cell>
        </row>
        <row r="11">
          <cell r="C11" t="str">
            <v>51-СКЛ.ОМТС ОВЧИННИКОВОЙ Н.И</v>
          </cell>
        </row>
        <row r="12">
          <cell r="C12" t="str">
            <v>52-СКЛ.МБП 12/1</v>
          </cell>
        </row>
        <row r="13">
          <cell r="C13" t="str">
            <v>53-ДКТ и С</v>
          </cell>
        </row>
        <row r="14">
          <cell r="C14" t="str">
            <v>54-ЦАП</v>
          </cell>
        </row>
        <row r="15">
          <cell r="C15" t="str">
            <v>55-ПРОДУКТЫ СЧ.41/1</v>
          </cell>
        </row>
        <row r="16">
          <cell r="C16" t="str">
            <v>56-СКЛ.ПВС ЖИЖИНОЙ В.Г.</v>
          </cell>
        </row>
        <row r="17">
          <cell r="C17" t="str">
            <v>57-ПРЦЭО</v>
          </cell>
        </row>
        <row r="18">
          <cell r="C18" t="str">
            <v>58-СКЛ.ПКРС КОРКОДИНОВОЙ З.А</v>
          </cell>
        </row>
        <row r="19">
          <cell r="C19" t="str">
            <v>59-ЦДНГ-1</v>
          </cell>
        </row>
        <row r="20">
          <cell r="C20" t="str">
            <v>60-ГСМ СЧ.41/2</v>
          </cell>
        </row>
        <row r="21">
          <cell r="C21" t="str">
            <v>61-ТРАНЗИТ СЧ.10/1</v>
          </cell>
        </row>
        <row r="22">
          <cell r="C22" t="str">
            <v>62-ТРАНЗИТ СЧ.12/1</v>
          </cell>
        </row>
        <row r="23">
          <cell r="C23" t="str">
            <v>63-ПВС</v>
          </cell>
        </row>
        <row r="24">
          <cell r="C24" t="str">
            <v>65-ПРУПН</v>
          </cell>
        </row>
        <row r="25">
          <cell r="C25" t="str">
            <v>66-ПРЦЭОиЭС</v>
          </cell>
        </row>
        <row r="26">
          <cell r="C26" t="str">
            <v>67-ПКРС</v>
          </cell>
        </row>
        <row r="27">
          <cell r="C27" t="str">
            <v>68-МЕТАЛЛОЛОМ</v>
          </cell>
        </row>
        <row r="28">
          <cell r="C28" t="str">
            <v>69-ЦДНГ-2</v>
          </cell>
        </row>
        <row r="29">
          <cell r="C29" t="str">
            <v>70-ЦНИПР</v>
          </cell>
        </row>
        <row r="30">
          <cell r="C30" t="str">
            <v>71-МГГ</v>
          </cell>
        </row>
        <row r="31">
          <cell r="C31" t="str">
            <v>72-СКЛ.ПРЦЭОиЭС ФИЛИМОНОВА</v>
          </cell>
        </row>
        <row r="32">
          <cell r="C32" t="str">
            <v>73-РСУ</v>
          </cell>
        </row>
        <row r="33">
          <cell r="C33" t="str">
            <v>74-ДЕМИДКОВО СЧ.10/1</v>
          </cell>
        </row>
        <row r="34">
          <cell r="C34" t="str">
            <v>75-ППН</v>
          </cell>
        </row>
        <row r="35">
          <cell r="C35" t="str">
            <v>76-СКЛ.ОМТС КУЗНЕЦОВ В.В.</v>
          </cell>
        </row>
        <row r="36">
          <cell r="C36" t="str">
            <v>77-РАЗНЫЕ</v>
          </cell>
        </row>
        <row r="37">
          <cell r="C37" t="str">
            <v>78-ПСХ</v>
          </cell>
        </row>
        <row r="38">
          <cell r="C38" t="str">
            <v>80-ТРАНЗИТ</v>
          </cell>
        </row>
        <row r="39">
          <cell r="C39" t="str">
            <v>82-КОРМА 10/9</v>
          </cell>
        </row>
        <row r="40">
          <cell r="C40" t="str">
            <v>86-СЕНО СЧ.10/7</v>
          </cell>
        </row>
        <row r="41">
          <cell r="C41" t="str">
            <v>87-ПРУПН СЧ.10/3</v>
          </cell>
        </row>
        <row r="42">
          <cell r="C42" t="str">
            <v>89-ДКТиС СЧ.10/3</v>
          </cell>
        </row>
        <row r="43">
          <cell r="C43" t="str">
            <v>90-РАЗНЫЕ СЧ.10/3</v>
          </cell>
        </row>
        <row r="44">
          <cell r="C44" t="str">
            <v>91-ПРЦЭО СЧ.10/3</v>
          </cell>
        </row>
        <row r="45">
          <cell r="C45" t="str">
            <v>92-ЦДНГ СЧ.10/3</v>
          </cell>
        </row>
        <row r="46">
          <cell r="C46" t="str">
            <v>93-ПВС СЧ.10/3</v>
          </cell>
        </row>
        <row r="47">
          <cell r="C47" t="str">
            <v>94-ПКРС СЧ.10/3</v>
          </cell>
        </row>
        <row r="48">
          <cell r="C48" t="str">
            <v>95-ППН СЧ.10/3</v>
          </cell>
        </row>
        <row r="49">
          <cell r="C49" t="str">
            <v>96-ПСХ СЧ.10/3</v>
          </cell>
        </row>
        <row r="50">
          <cell r="C50" t="str">
            <v>97-РСУ СЧ.10/3</v>
          </cell>
        </row>
        <row r="51">
          <cell r="C51" t="str">
            <v>98-ПРЦЭОиЭС СЧ.10/3</v>
          </cell>
        </row>
        <row r="52">
          <cell r="C52" t="str">
            <v>DAV VERTRIEB</v>
          </cell>
        </row>
        <row r="53">
          <cell r="C53" t="str">
            <v>P.F.I.G.Ltd Afemia House</v>
          </cell>
        </row>
        <row r="54">
          <cell r="C54" t="str">
            <v>АБАТУРОВ Ю.П.</v>
          </cell>
        </row>
        <row r="55">
          <cell r="C55" t="str">
            <v>АВГУСТОВ Л.Б.</v>
          </cell>
        </row>
        <row r="56">
          <cell r="C56" t="str">
            <v>АВИАОТРЯД</v>
          </cell>
        </row>
        <row r="57">
          <cell r="C57" t="str">
            <v>АВИДЗБА Т.Р.</v>
          </cell>
        </row>
        <row r="58">
          <cell r="C58" t="str">
            <v>АГАФОНОВА Н.А.</v>
          </cell>
        </row>
        <row r="59">
          <cell r="C59" t="str">
            <v>АГЕНСТВО ИНТУРИСТ</v>
          </cell>
        </row>
        <row r="60">
          <cell r="C60" t="str">
            <v>АГЕНСТВО ЛУКОМ-А-ПЕРМЬ</v>
          </cell>
        </row>
        <row r="61">
          <cell r="C61" t="str">
            <v>АГРОПРОМТЕХСНАБ</v>
          </cell>
        </row>
        <row r="62">
          <cell r="C62" t="str">
            <v>АГРОПРОМЫШЛEННАЯ ФИРМА ИС</v>
          </cell>
        </row>
        <row r="63">
          <cell r="C63" t="str">
            <v>АДМИНИСТРАЦИЯ ВЕТЛЯНСКОГО СЕЛЬСОВЕТА</v>
          </cell>
        </row>
        <row r="64">
          <cell r="C64" t="str">
            <v>АДМИНИСТРАЦИЯ Г.АЛЕКСАНДРОВСКА</v>
          </cell>
        </row>
        <row r="65">
          <cell r="C65" t="str">
            <v>АДМИНИСТРАЦИЯ г.БЕРЕЗНИКИ</v>
          </cell>
        </row>
        <row r="66">
          <cell r="C66" t="str">
            <v>АДМИНИСТРАЦИЯ Г.ГУБАХИ</v>
          </cell>
        </row>
        <row r="67">
          <cell r="C67" t="str">
            <v>АДМИНИСТРАЦИЯ Г.ДОБРЯНКА</v>
          </cell>
        </row>
        <row r="68">
          <cell r="C68" t="str">
            <v>АДМИНИСТРАЦИЯ Г.ДОБРЯНКА</v>
          </cell>
        </row>
        <row r="69">
          <cell r="C69" t="str">
            <v>АДМИНИСТРАЦИЯ Г.ДОБРЯНКА</v>
          </cell>
        </row>
        <row r="70">
          <cell r="C70" t="str">
            <v>АДМИНИСТРАЦИЯ П.КАМСКИЙ</v>
          </cell>
        </row>
        <row r="71">
          <cell r="C71" t="str">
            <v>АДМИНИСТРАЦИЯ П.ПОЛАЗНА</v>
          </cell>
        </row>
        <row r="72">
          <cell r="C72" t="str">
            <v>АДМИНИСТРАЦИЯ П.ПОЛАЗНА</v>
          </cell>
        </row>
        <row r="73">
          <cell r="C73" t="str">
            <v>АДМИНИСТРАЦИЯ ПОС.ПОЛАЗНА</v>
          </cell>
        </row>
        <row r="74">
          <cell r="C74" t="str">
            <v>АДМИНИСТРАЦИЯ с.РОМАНОВО</v>
          </cell>
        </row>
        <row r="75">
          <cell r="C75" t="str">
            <v>АДМИНИСТРАЦИЯ с.РОМАНОВО</v>
          </cell>
        </row>
        <row r="76">
          <cell r="C76" t="str">
            <v>АДМИНИСТРАЦИЯ СОЛИКАМСКОГО РАЙОНА</v>
          </cell>
        </row>
        <row r="77">
          <cell r="C77" t="str">
            <v>АДМИНИСТРАЦИЯ СОЛИКАМСКОГО РАЙОНА</v>
          </cell>
        </row>
        <row r="78">
          <cell r="C78" t="str">
            <v>АДМИНИСТРАЦИЯ УСОЛЬСКОГО Р-НА</v>
          </cell>
        </row>
        <row r="79">
          <cell r="C79" t="str">
            <v>АДМИНИСТРАЦИЯ УСОЛЬСКОГО Р-НА</v>
          </cell>
        </row>
        <row r="80">
          <cell r="C80" t="str">
            <v>АДМИНИСТРАЦИЯ ЯРИНСКГО ПОССОВЕТА</v>
          </cell>
        </row>
        <row r="81">
          <cell r="C81" t="str">
            <v>АЙЗКРАУКЛЕС</v>
          </cell>
        </row>
        <row r="82">
          <cell r="C82" t="str">
            <v>АК ЛЫСЬВЕНСКИЙ МАШЗАВОД</v>
          </cell>
        </row>
        <row r="83">
          <cell r="C83" t="str">
            <v>АКБ БЕЛБИЗНЕСБАНК</v>
          </cell>
        </row>
        <row r="84">
          <cell r="C84" t="str">
            <v>АКБ КАЗБИЗНЕСБАНК гКАЗАНЬ</v>
          </cell>
        </row>
        <row r="85">
          <cell r="C85" t="str">
            <v>АКСАКОВСКАЯ БАЗА УПТОиКО</v>
          </cell>
        </row>
        <row r="86">
          <cell r="C86" t="str">
            <v>АКСЕЛЬРОД В.Г.</v>
          </cell>
        </row>
        <row r="87">
          <cell r="C87" t="str">
            <v>АКЦ.ЗАВОД СТРОЙМАТЕР.-АЗСМ</v>
          </cell>
        </row>
        <row r="88">
          <cell r="C88" t="str">
            <v>АКЦИОНЕРНЫЙ БАНК ИМПЕРИАЛ</v>
          </cell>
        </row>
        <row r="89">
          <cell r="C89" t="str">
            <v>АЛЕКСАНДРОВСКИЙ МХЛ</v>
          </cell>
        </row>
        <row r="90">
          <cell r="C90" t="str">
            <v>АЛИКИН В.И.</v>
          </cell>
        </row>
        <row r="91">
          <cell r="C91" t="str">
            <v>АЛИКИН С.В.</v>
          </cell>
        </row>
        <row r="92">
          <cell r="C92" t="str">
            <v>АЛТАЙСКИЙ З-Д ТРАКТ.ОБОРУД.</v>
          </cell>
        </row>
        <row r="93">
          <cell r="C93" t="str">
            <v>АЛЬМЕТЬЕВСКИЙ МАШ.ЗАВОД</v>
          </cell>
        </row>
        <row r="94">
          <cell r="C94" t="str">
            <v>АЛЬМЕТЬЕВСКИЙ МАШ.ЗАВОД</v>
          </cell>
        </row>
        <row r="95">
          <cell r="C95" t="str">
            <v>АЛЬМЕТЬЕВСКИЙ Н.У.</v>
          </cell>
        </row>
        <row r="96">
          <cell r="C96" t="str">
            <v>АЛЬМЕТЬЕВСКИЙ Н.У.</v>
          </cell>
        </row>
        <row r="97">
          <cell r="C97" t="str">
            <v>АМЗ НЕФТЕМАШ</v>
          </cell>
        </row>
        <row r="98">
          <cell r="C98" t="str">
            <v>АМЗ НЕФТЕМАШ</v>
          </cell>
        </row>
        <row r="99">
          <cell r="C99" t="str">
            <v>АНАЛ.ЦЕНТР ПРИ ПЕРМСК.ОБЛ.КОМИТЕТЕ</v>
          </cell>
        </row>
        <row r="100">
          <cell r="C100" t="str">
            <v>АНАНИН В.М.</v>
          </cell>
        </row>
        <row r="101">
          <cell r="C101" t="str">
            <v>АНСАМБЛЬ ФОЛЬКЛОРНЫЙ ПРИКАМЬЕ</v>
          </cell>
        </row>
        <row r="102">
          <cell r="C102" t="str">
            <v>АНТИПЬЕВ Ф.Д.</v>
          </cell>
        </row>
        <row r="103">
          <cell r="C103" t="str">
            <v>АНХ ПРИ ПРАВИТ.РФ ЦЕНТР ЕВРО-МЕНЕДЖМЕНТ</v>
          </cell>
        </row>
        <row r="104">
          <cell r="C104" t="str">
            <v>АО АВТОАГРЕГАТ</v>
          </cell>
        </row>
        <row r="105">
          <cell r="C105" t="str">
            <v>АО АВТОРЕМОНТ</v>
          </cell>
        </row>
        <row r="106">
          <cell r="C106" t="str">
            <v>АО АНАЛИТМАРКЕТИНГ</v>
          </cell>
        </row>
        <row r="107">
          <cell r="C107" t="str">
            <v>АО АТМА</v>
          </cell>
        </row>
        <row r="108">
          <cell r="C108" t="str">
            <v>АО АШИНСКИЙ МЕТАЛЛУРГИЧЕСКИЙ ЗАВОД</v>
          </cell>
        </row>
        <row r="109">
          <cell r="C109" t="str">
            <v>АО БАЛЕЗИНСКИЙ ЛЕСПРОМХОЗ</v>
          </cell>
        </row>
        <row r="110">
          <cell r="C110" t="str">
            <v>АО БАЛЕЗИНСКИЙ ЛЕСПРОМХОЗ</v>
          </cell>
        </row>
        <row r="111">
          <cell r="C111" t="str">
            <v>АО БАНК ЦЕНТРА</v>
          </cell>
        </row>
        <row r="112">
          <cell r="C112" t="str">
            <v>АО БАШИНФОРМ</v>
          </cell>
        </row>
        <row r="113">
          <cell r="C113" t="str">
            <v>АО БЕЛКА</v>
          </cell>
        </row>
        <row r="114">
          <cell r="C114" t="str">
            <v>АО БЕЛЭНЕРГОМАШ</v>
          </cell>
        </row>
        <row r="115">
          <cell r="C115" t="str">
            <v>АО БЗ ЖБК г.БЕРЕЗНИКИ</v>
          </cell>
        </row>
        <row r="116">
          <cell r="C116" t="str">
            <v>АО БЗ ЖБК Г.БЕРЕЗНИКИ</v>
          </cell>
        </row>
        <row r="117">
          <cell r="C117" t="str">
            <v>АО БУКИНИСТ</v>
          </cell>
        </row>
        <row r="118">
          <cell r="C118" t="str">
            <v>АО ВНИИТНЕФТЬ</v>
          </cell>
        </row>
        <row r="119">
          <cell r="C119" t="str">
            <v>АО ВТФ ЭНИКС</v>
          </cell>
        </row>
        <row r="120">
          <cell r="C120" t="str">
            <v>АО ГАЗ</v>
          </cell>
        </row>
        <row r="121">
          <cell r="C121" t="str">
            <v>АО ГАЗАППАРАТ</v>
          </cell>
        </row>
        <row r="122">
          <cell r="C122" t="str">
            <v>АО ГОРНОЗАВОДСКЦЕМЕНТ</v>
          </cell>
        </row>
        <row r="123">
          <cell r="C123" t="str">
            <v>АО ДЕСПАСТ</v>
          </cell>
        </row>
        <row r="124">
          <cell r="C124" t="str">
            <v>АО ДИАЛОГ-ПЕРМЬ</v>
          </cell>
        </row>
        <row r="125">
          <cell r="C125" t="str">
            <v>АО ДОБРЯНКА-РЫБА</v>
          </cell>
        </row>
        <row r="126">
          <cell r="C126" t="str">
            <v>АО ДОБРЯНСКИЙ ДСК</v>
          </cell>
        </row>
        <row r="127">
          <cell r="C127" t="str">
            <v>АО ДОБРЯНСКИЙ ДСК</v>
          </cell>
        </row>
        <row r="128">
          <cell r="C128" t="str">
            <v>АО ДОМОСТРОИТЕЛЬ</v>
          </cell>
        </row>
        <row r="129">
          <cell r="C129" t="str">
            <v>АО ЖЕМЧУЖИНА</v>
          </cell>
        </row>
        <row r="130">
          <cell r="C130" t="str">
            <v>АО ЖЕМЧУЖИНА</v>
          </cell>
        </row>
        <row r="131">
          <cell r="C131" t="str">
            <v>АО ЗАВОД БЫТОВОЙ ТЕХНИКИ</v>
          </cell>
        </row>
        <row r="132">
          <cell r="C132" t="str">
            <v>АО ЗАВОД МЕТИЛ</v>
          </cell>
        </row>
        <row r="133">
          <cell r="C133" t="str">
            <v>АО ЗАВОД НЕФТЕГАЗОВОГО ОБОРУДОВАНИЯ</v>
          </cell>
        </row>
        <row r="134">
          <cell r="C134" t="str">
            <v>АО ЗОЛОТАЯ РАДУГА</v>
          </cell>
        </row>
        <row r="135">
          <cell r="C135" t="str">
            <v>АО ЗОРИ</v>
          </cell>
        </row>
        <row r="136">
          <cell r="C136" t="str">
            <v>АО ИГРУС</v>
          </cell>
        </row>
        <row r="137">
          <cell r="C137" t="str">
            <v>АО ИНТЕРПЕРМСЕРВИС</v>
          </cell>
        </row>
        <row r="138">
          <cell r="C138" t="str">
            <v>АО ИНТУРИСТ-ПЕРМЬ</v>
          </cell>
        </row>
        <row r="139">
          <cell r="C139" t="str">
            <v>АО КАМКАБЕЛЬ Г.ПЕРМЬ</v>
          </cell>
        </row>
        <row r="140">
          <cell r="C140" t="str">
            <v>АО КАМКАБЕЛЬ Г.ПЕРМЬ</v>
          </cell>
        </row>
        <row r="141">
          <cell r="C141" t="str">
            <v>АО КИРОВСКИЙ ШИННЫЙ З-Д</v>
          </cell>
        </row>
        <row r="142">
          <cell r="C142" t="str">
            <v>АО КОЛВА</v>
          </cell>
        </row>
        <row r="143">
          <cell r="C143" t="str">
            <v>АО КОЛВА</v>
          </cell>
        </row>
        <row r="144">
          <cell r="C144" t="str">
            <v>АО КОМПЛ.ДОР.МАШ.</v>
          </cell>
        </row>
        <row r="145">
          <cell r="C145" t="str">
            <v>АО КОПТОР</v>
          </cell>
        </row>
        <row r="146">
          <cell r="C146" t="str">
            <v>АО КРАСНОКАМСКИЙ АГРОСНАБ</v>
          </cell>
        </row>
        <row r="147">
          <cell r="C147" t="str">
            <v>АО КРИСТАЛЛ</v>
          </cell>
        </row>
        <row r="148">
          <cell r="C148" t="str">
            <v>АО КУНГУР-ОБУВЬ</v>
          </cell>
        </row>
        <row r="149">
          <cell r="C149" t="str">
            <v>АО КУРГАННЕФТЕМАШ</v>
          </cell>
        </row>
        <row r="150">
          <cell r="C150" t="str">
            <v>АО КУЧУКСУЛЬФАТ</v>
          </cell>
        </row>
        <row r="151">
          <cell r="C151" t="str">
            <v>АО КУЧУКСУЛЬФАТ</v>
          </cell>
        </row>
        <row r="152">
          <cell r="C152" t="str">
            <v>АО МАНОМЕТР</v>
          </cell>
        </row>
        <row r="153">
          <cell r="C153" t="str">
            <v>АО МАНОМЕТР</v>
          </cell>
        </row>
        <row r="154">
          <cell r="C154" t="str">
            <v>АО МАШИНОСТРОИТЕЛЬНЫЙ З-Д Г.НАЛЬЧИК</v>
          </cell>
        </row>
        <row r="155">
          <cell r="C155" t="str">
            <v>АО МЕЛКЕР</v>
          </cell>
        </row>
        <row r="156">
          <cell r="C156" t="str">
            <v>АО МЕТАЛЛИСТ</v>
          </cell>
        </row>
        <row r="157">
          <cell r="C157" t="str">
            <v>АО МЕТАЛЛИСТ</v>
          </cell>
        </row>
        <row r="158">
          <cell r="C158" t="str">
            <v>АО МЕТОФРАКС</v>
          </cell>
        </row>
        <row r="159">
          <cell r="C159" t="str">
            <v>АО МИАССЭЛЕКТРОКОНВЕРСИЯ г.МИАСС</v>
          </cell>
        </row>
        <row r="160">
          <cell r="C160" t="str">
            <v>АО МОДУЛЬ</v>
          </cell>
        </row>
        <row r="161">
          <cell r="C161" t="str">
            <v>АО МОСКАБЕЛЬМЕТ</v>
          </cell>
        </row>
        <row r="162">
          <cell r="C162" t="str">
            <v>АО МОТОВИЛИХИНСКИЕ ЗАВОДЫ</v>
          </cell>
        </row>
        <row r="163">
          <cell r="C163" t="str">
            <v>АО МОТОВИЛИХИНСКИЕ ЗАВОДЫ</v>
          </cell>
        </row>
        <row r="164">
          <cell r="C164" t="str">
            <v>АО МОТОРОДЕТАЛЬ</v>
          </cell>
        </row>
        <row r="165">
          <cell r="C165" t="str">
            <v>АО НАУКА</v>
          </cell>
        </row>
        <row r="166">
          <cell r="C166" t="str">
            <v>АО НАФТАМ</v>
          </cell>
        </row>
        <row r="167">
          <cell r="C167" t="str">
            <v>АО НИИ ТЭМ</v>
          </cell>
        </row>
        <row r="168">
          <cell r="C168" t="str">
            <v>АО НИКОЛ</v>
          </cell>
        </row>
        <row r="169">
          <cell r="C169" t="str">
            <v>АО НПО ИСКРА</v>
          </cell>
        </row>
        <row r="170">
          <cell r="C170" t="str">
            <v>АО ОХАНСКРАЙСНАБ</v>
          </cell>
        </row>
        <row r="171">
          <cell r="C171" t="str">
            <v>АО ПАНСИОНАТ СВЕТЛАНА</v>
          </cell>
        </row>
        <row r="172">
          <cell r="C172" t="str">
            <v>АО ПАРЕКС-БАНК</v>
          </cell>
        </row>
        <row r="173">
          <cell r="C173" t="str">
            <v>АО ПГС</v>
          </cell>
        </row>
        <row r="174">
          <cell r="C174" t="str">
            <v>АО ПЕРМКООПЗАГОТПРОМТОРГ</v>
          </cell>
        </row>
        <row r="175">
          <cell r="C175" t="str">
            <v>АО ПЕРМКООПЗАГОТПРОМТОРГ</v>
          </cell>
        </row>
        <row r="176">
          <cell r="C176" t="str">
            <v>АО ПЕРМЛЕСПРОМ</v>
          </cell>
        </row>
        <row r="177">
          <cell r="C177" t="str">
            <v>АО ПЕРМЛЕСПРОМ</v>
          </cell>
        </row>
        <row r="178">
          <cell r="C178" t="str">
            <v>АО ПЕРММЕТАЛЛ</v>
          </cell>
        </row>
        <row r="179">
          <cell r="C179" t="str">
            <v>АО ПЕРММЕТАЛЛ</v>
          </cell>
        </row>
        <row r="180">
          <cell r="C180" t="str">
            <v>АО ПЕРММОЛПРОМ</v>
          </cell>
        </row>
        <row r="181">
          <cell r="C181" t="str">
            <v>АО ПЕРМНЕФТЬ</v>
          </cell>
        </row>
        <row r="182">
          <cell r="C182" t="str">
            <v>АО ПЕРМРАЙСНАБ</v>
          </cell>
        </row>
        <row r="183">
          <cell r="C183" t="str">
            <v>АО ПЕРМСК.КОМ/Я НЕФТЯН.МАШИНОСТРОЕН</v>
          </cell>
        </row>
        <row r="184">
          <cell r="C184" t="str">
            <v>АО ПЕРМСКАЯ ГРЭС</v>
          </cell>
        </row>
        <row r="185">
          <cell r="C185" t="str">
            <v>АО ПЕРМСКАЯ ГРЭС</v>
          </cell>
        </row>
        <row r="186">
          <cell r="C186" t="str">
            <v>АО ПЕРМСКИЕ ЛЕСОПРОМЫШЛЕННИКИ</v>
          </cell>
        </row>
        <row r="187">
          <cell r="C187" t="str">
            <v>АО ПЕРМСКИЕ МОТОРЫ</v>
          </cell>
        </row>
        <row r="188">
          <cell r="C188" t="str">
            <v>АО ПЕРМСКИЙ ДСК</v>
          </cell>
        </row>
        <row r="189">
          <cell r="C189" t="str">
            <v>АО ПЕРМСКИЙ ЗАВОД СИЛИК.ПАНЕЛЕЙ</v>
          </cell>
        </row>
        <row r="190">
          <cell r="C190" t="str">
            <v>АО ПЕРМСКИЙ З-Д АВТОАГРЕГАТ</v>
          </cell>
        </row>
        <row r="191">
          <cell r="C191" t="str">
            <v>АО ПЕРМСКИЙ МАРГАРИНОВЫЙ З/Д СДОБРИ</v>
          </cell>
        </row>
        <row r="192">
          <cell r="C192" t="str">
            <v>АО ПЕРМСКИЙ СРЗ</v>
          </cell>
        </row>
        <row r="193">
          <cell r="C193" t="str">
            <v>АО ПЕРМТОРГТЕХНИКА</v>
          </cell>
        </row>
        <row r="194">
          <cell r="C194" t="str">
            <v>АО ПЕРМТРАНСГАЗ</v>
          </cell>
        </row>
        <row r="195">
          <cell r="C195" t="str">
            <v>АО ПЕРМТРАНСЖЕЛЕЗОБЕТОН</v>
          </cell>
        </row>
        <row r="196">
          <cell r="C196" t="str">
            <v>АО ПЕРМТУРИСТ</v>
          </cell>
        </row>
        <row r="197">
          <cell r="C197" t="str">
            <v>АО ПЕРМЭНЕРГО</v>
          </cell>
        </row>
        <row r="198">
          <cell r="C198" t="str">
            <v>АО ПЕРМЭНЕРГО</v>
          </cell>
        </row>
        <row r="199">
          <cell r="C199" t="str">
            <v>АО ПЛАТАН г.МОСКВА</v>
          </cell>
        </row>
        <row r="200">
          <cell r="C200" t="str">
            <v>АО ПОДШИПНИКОВ СКОЛЬЖЕНИЯ г.ТАМБОВ</v>
          </cell>
        </row>
        <row r="201">
          <cell r="C201" t="str">
            <v>АО ПОЖВИНСКИЙ МАШ.ЗАВОД</v>
          </cell>
        </row>
        <row r="202">
          <cell r="C202" t="str">
            <v>АО ПОРТ ЛЕВШИНО</v>
          </cell>
        </row>
        <row r="203">
          <cell r="C203" t="str">
            <v>АО ПРИВОД</v>
          </cell>
        </row>
        <row r="204">
          <cell r="C204" t="str">
            <v>АО ПРИКАМЛЕС</v>
          </cell>
        </row>
        <row r="205">
          <cell r="C205" t="str">
            <v>АО ПРИКАМЬЕ ЛАДА</v>
          </cell>
        </row>
        <row r="206">
          <cell r="C206" t="str">
            <v>АО ПРИЧАЛ</v>
          </cell>
        </row>
        <row r="207">
          <cell r="C207" t="str">
            <v>АО ПРОМЫШ.КОМП.ПИОНЕР</v>
          </cell>
        </row>
        <row r="208">
          <cell r="C208" t="str">
            <v>АО ПТО МЕДТЕХНИКА</v>
          </cell>
        </row>
        <row r="209">
          <cell r="C209" t="str">
            <v>АО РАССВЕТ-ЭКСПО</v>
          </cell>
        </row>
        <row r="210">
          <cell r="C210" t="str">
            <v>АО РАССВЕТ-ЭКСПО</v>
          </cell>
        </row>
        <row r="211">
          <cell r="C211" t="str">
            <v>АО РОСИНСКРАФТ</v>
          </cell>
        </row>
        <row r="212">
          <cell r="C212" t="str">
            <v>АО РОСИНСКРАФТ</v>
          </cell>
        </row>
        <row r="213">
          <cell r="C213" t="str">
            <v>АО РТД СЕРВИС</v>
          </cell>
        </row>
        <row r="214">
          <cell r="C214" t="str">
            <v>АО РЭБ ФЛОТА ПОМ. ДЗЕ</v>
          </cell>
        </row>
        <row r="215">
          <cell r="C215" t="str">
            <v>АО САМАРСКИЙ КАБЕЛЬНЫЙ КОМП.</v>
          </cell>
        </row>
        <row r="216">
          <cell r="C216" t="str">
            <v>АО САМАРСКИЙ ТРАНСФОРМАТОР</v>
          </cell>
        </row>
        <row r="217">
          <cell r="C217" t="str">
            <v>АО САРАНИНСКИЙ ЗАВОД</v>
          </cell>
        </row>
        <row r="218">
          <cell r="C218" t="str">
            <v>АО САРАНСКИЙ ПРИБОРОСТРОИТЕЛ.ЗАВОД</v>
          </cell>
        </row>
        <row r="219">
          <cell r="C219" t="str">
            <v>АО СЕВЕРО-ЗАПАДНЫЕ МАГИСТРАЛЬНЫЕ НЕФНЕПРОВОДЫ</v>
          </cell>
        </row>
        <row r="220">
          <cell r="C220" t="str">
            <v>АО СЕЛЬХОЗКОМПЛЕКТ</v>
          </cell>
        </row>
        <row r="221">
          <cell r="C221" t="str">
            <v>АО СИБНЕФТЕАВТОМАТИКА г.ТЮМЕНЬ</v>
          </cell>
        </row>
        <row r="222">
          <cell r="C222" t="str">
            <v>АО СОВ ПЛИМ 195279 г.С-ПЕТЕРБУРГ</v>
          </cell>
        </row>
        <row r="223">
          <cell r="C223" t="str">
            <v>АО СОЛИКАМСКИЙ МАГНИЕВЫЙ ЗАВОД</v>
          </cell>
        </row>
        <row r="224">
          <cell r="C224" t="str">
            <v>АО СОЛПИ-ПРОГРЕСС</v>
          </cell>
        </row>
        <row r="225">
          <cell r="C225" t="str">
            <v>АО СОРБЕНТ-ЦЕНТР ВНЕДРЕНИЕ</v>
          </cell>
        </row>
        <row r="226">
          <cell r="C226" t="str">
            <v>АО СПЕЦАВТОТЕХНИКА</v>
          </cell>
        </row>
        <row r="227">
          <cell r="C227" t="str">
            <v>АО СТАРТ-ИНВЕСТ</v>
          </cell>
        </row>
        <row r="228">
          <cell r="C228" t="str">
            <v>АО ТАТНИИНЕФТЕМАШ</v>
          </cell>
        </row>
        <row r="229">
          <cell r="C229" t="str">
            <v>АО ТЕРМОПРИБОР</v>
          </cell>
        </row>
        <row r="230">
          <cell r="C230" t="str">
            <v>АО ТЕРМОПРИБОР</v>
          </cell>
        </row>
        <row r="231">
          <cell r="C231" t="str">
            <v>АО ТИМЕКС</v>
          </cell>
        </row>
        <row r="232">
          <cell r="C232" t="str">
            <v>АО ТИМЕКС</v>
          </cell>
        </row>
        <row r="233">
          <cell r="C233" t="str">
            <v>АО ТРИАДА</v>
          </cell>
        </row>
        <row r="234">
          <cell r="C234" t="str">
            <v>АО ТРИАДА</v>
          </cell>
        </row>
        <row r="235">
          <cell r="C235" t="str">
            <v>АО ТУР</v>
          </cell>
        </row>
        <row r="236">
          <cell r="C236" t="str">
            <v>АО ТЯЖМАШ-КОМПЛЕКС</v>
          </cell>
        </row>
        <row r="237">
          <cell r="C237" t="str">
            <v>АО УЛЬЯНОВСКИЙ АВТОЗАВОД</v>
          </cell>
        </row>
        <row r="238">
          <cell r="C238" t="str">
            <v>АО УРАЛКАЛИЙ</v>
          </cell>
        </row>
        <row r="239">
          <cell r="C239" t="str">
            <v>АО УРАЛКАЛИЙ</v>
          </cell>
        </row>
        <row r="240">
          <cell r="C240" t="str">
            <v>АО УРАЛСВЯЗЬИНФОРМ</v>
          </cell>
        </row>
        <row r="241">
          <cell r="C241" t="str">
            <v>АО УРАЛСВЯЗЬИНФОРМ</v>
          </cell>
        </row>
        <row r="242">
          <cell r="C242" t="str">
            <v>АО УРАЛТРУБ</v>
          </cell>
        </row>
        <row r="243">
          <cell r="C243" t="str">
            <v>АО УРАЛЬСКИЙ АВТОМОТОРНЫЙ З-Д г.НОВ</v>
          </cell>
        </row>
        <row r="244">
          <cell r="C244" t="str">
            <v>АО УРАЛЭЛЕКТРОТЯЖМАШ</v>
          </cell>
        </row>
        <row r="245">
          <cell r="C245" t="str">
            <v>АО ФРИТЕКС</v>
          </cell>
        </row>
        <row r="246">
          <cell r="C246" t="str">
            <v>АО ЦЕНТР ТЕХНИЧЕСКОЙ ДИАГНОСТИКИ</v>
          </cell>
        </row>
        <row r="247">
          <cell r="C247" t="str">
            <v>АО ЦОРМ ТОРГТЕХНИКА</v>
          </cell>
        </row>
        <row r="248">
          <cell r="C248" t="str">
            <v>АО ЭЛЕКТРОАВТОМАТИКА г.Челябинск</v>
          </cell>
        </row>
        <row r="249">
          <cell r="C249" t="str">
            <v>АО ЭЛЕКТРОЩИТ</v>
          </cell>
        </row>
        <row r="250">
          <cell r="C250" t="str">
            <v>АО ЭЛИЗ</v>
          </cell>
        </row>
        <row r="251">
          <cell r="C251" t="str">
            <v>АО ЯЙВИНСКИЙ ДСК</v>
          </cell>
        </row>
        <row r="252">
          <cell r="C252" t="str">
            <v>АО ЯЙВИНСКИЙ ДСК</v>
          </cell>
        </row>
        <row r="253">
          <cell r="C253" t="str">
            <v>АОЗТ АВИКОМ</v>
          </cell>
        </row>
        <row r="254">
          <cell r="C254" t="str">
            <v>АОЗТ АНАНДА</v>
          </cell>
        </row>
        <row r="255">
          <cell r="C255" t="str">
            <v>АОЗТ АНТАРЕС ЛТД</v>
          </cell>
        </row>
        <row r="256">
          <cell r="C256" t="str">
            <v>АОЗТ АТМ</v>
          </cell>
        </row>
        <row r="257">
          <cell r="C257" t="str">
            <v>АОЗТ БЕСТ</v>
          </cell>
        </row>
        <row r="258">
          <cell r="C258" t="str">
            <v>АОЗТ БЕСТ</v>
          </cell>
        </row>
        <row r="259">
          <cell r="C259" t="str">
            <v>АОЗТ БЛОК-СЕРВИС</v>
          </cell>
        </row>
        <row r="260">
          <cell r="C260" t="str">
            <v>АОЗТ ВИТОН</v>
          </cell>
        </row>
        <row r="261">
          <cell r="C261" t="str">
            <v>АОЗТ ВОЛЖСКИЕ МОТОРЫ</v>
          </cell>
        </row>
        <row r="262">
          <cell r="C262" t="str">
            <v>АОЗТ ГЕЛИКС</v>
          </cell>
        </row>
        <row r="263">
          <cell r="C263" t="str">
            <v>АОЗТ ГРИГОРЬЕВСКОЕ</v>
          </cell>
        </row>
        <row r="264">
          <cell r="C264" t="str">
            <v>АОЗТ ГРИГОРЬЕВСКОЕ</v>
          </cell>
        </row>
        <row r="265">
          <cell r="C265" t="str">
            <v>АОЗТ ЗАПАДУРАЛСТРОЙМАТЕРИАЛЫ</v>
          </cell>
        </row>
        <row r="266">
          <cell r="C266" t="str">
            <v>АОЗТ ЗАПАДУРАЛСТРОЙМАТЕРИАЛЫ</v>
          </cell>
        </row>
        <row r="267">
          <cell r="C267" t="str">
            <v>АОЗТ З-Д КАМАСТАЛЬ</v>
          </cell>
        </row>
        <row r="268">
          <cell r="C268" t="str">
            <v>АОЗТ З-Д КАМАСТАЛЬ</v>
          </cell>
        </row>
        <row r="269">
          <cell r="C269" t="str">
            <v>АОЗТ ИНФИНКО-ОЙЛ</v>
          </cell>
        </row>
        <row r="270">
          <cell r="C270" t="str">
            <v>АОЗТ КАТАЙСКИЙ НАСОСНЫЙ ЗАВОД</v>
          </cell>
        </row>
        <row r="271">
          <cell r="C271" t="str">
            <v>АОЗТ КИРСИНСКИЙ КАБ</v>
          </cell>
        </row>
        <row r="272">
          <cell r="C272" t="str">
            <v>АОЗТ КОНТРАКТОР</v>
          </cell>
        </row>
        <row r="273">
          <cell r="C273" t="str">
            <v>АОЗТ КРЕДО-М</v>
          </cell>
        </row>
        <row r="274">
          <cell r="C274" t="str">
            <v>АОЗТ ЛИТЕЙНО-ТЕРМИЧЕСКИЙ ЗАВОД</v>
          </cell>
        </row>
        <row r="275">
          <cell r="C275" t="str">
            <v>АОЗТ МЕЙКЕР</v>
          </cell>
        </row>
        <row r="276">
          <cell r="C276" t="str">
            <v>АОЗТ НЕГА</v>
          </cell>
        </row>
        <row r="277">
          <cell r="C277" t="str">
            <v>АОЗТ НЕГА</v>
          </cell>
        </row>
        <row r="278">
          <cell r="C278" t="str">
            <v>АОЗТ НЕФТЬ И КАПИТАЛ</v>
          </cell>
        </row>
        <row r="279">
          <cell r="C279" t="str">
            <v>АОЗТ НИЗКОВОЛЬТНИК</v>
          </cell>
        </row>
        <row r="280">
          <cell r="C280" t="str">
            <v>АОЗТ НИКРО</v>
          </cell>
        </row>
        <row r="281">
          <cell r="C281" t="str">
            <v>АОЗТ НОВЭЛ Г.МИАСС,ЧЕЛЯБИНСКАЯ ОБЛ.</v>
          </cell>
        </row>
        <row r="282">
          <cell r="C282" t="str">
            <v>АОЗТ ОВИМЭКС Г.ЕКАТЕРИНБУРГ</v>
          </cell>
        </row>
        <row r="283">
          <cell r="C283" t="str">
            <v>АОЗТ ОЛИМП</v>
          </cell>
        </row>
        <row r="284">
          <cell r="C284" t="str">
            <v>АОЗТ ОЛИМП</v>
          </cell>
        </row>
        <row r="285">
          <cell r="C285" t="str">
            <v>АОЗТ ОЛИМП</v>
          </cell>
        </row>
        <row r="286">
          <cell r="C286" t="str">
            <v>АОЗТ ПЕРМСЕРВИСЦЕНТР</v>
          </cell>
        </row>
        <row r="287">
          <cell r="C287" t="str">
            <v>АОЗТ ПЕРМСКИЙ ИНСТИТУТ ПЕРМСТРОЙПРОЕКТ</v>
          </cell>
        </row>
        <row r="288">
          <cell r="C288" t="str">
            <v>АОЗТ ПЕРМСКИЙ ЦЕНТР ПО АСУ</v>
          </cell>
        </row>
        <row r="289">
          <cell r="C289" t="str">
            <v>АОЗТ ПЕРМСКИЙ ЦЕНТР ПО АСУ</v>
          </cell>
        </row>
        <row r="290">
          <cell r="C290" t="str">
            <v>АОЗТ ПЕРМСТРОЙКОМПЛЕКТ</v>
          </cell>
        </row>
        <row r="291">
          <cell r="C291" t="str">
            <v>АОЗТ ПИОНЕР</v>
          </cell>
        </row>
        <row r="292">
          <cell r="C292" t="str">
            <v>АОЗТ ПОЛИГАЗ ПЛЮС</v>
          </cell>
        </row>
        <row r="293">
          <cell r="C293" t="str">
            <v>АОЗТ ПРИКАМЬЕ</v>
          </cell>
        </row>
        <row r="294">
          <cell r="C294" t="str">
            <v>АОЗТ ПРОГРЕСС</v>
          </cell>
        </row>
        <row r="295">
          <cell r="C295" t="str">
            <v>АОЗТ ПРОМБЕЗОПАСНОСТЬ</v>
          </cell>
        </row>
        <row r="296">
          <cell r="C296" t="str">
            <v>АОЗТ РИДЕКС-П</v>
          </cell>
        </row>
        <row r="297">
          <cell r="C297" t="str">
            <v>АОЗТ САЛЬМС-ТАЙМ</v>
          </cell>
        </row>
        <row r="298">
          <cell r="C298" t="str">
            <v>АОЗТ СИМА</v>
          </cell>
        </row>
        <row r="299">
          <cell r="C299" t="str">
            <v>АОЗТ СОЛИД С</v>
          </cell>
        </row>
        <row r="300">
          <cell r="C300" t="str">
            <v>АОЗТ СОЮЗ ВС г.ВЕРХНЯЯ САЛДА</v>
          </cell>
        </row>
        <row r="301">
          <cell r="C301" t="str">
            <v>АОЗТ СП ГЕРОС-КАБЕЛЬ</v>
          </cell>
        </row>
        <row r="302">
          <cell r="C302" t="str">
            <v>АОЗТ СТАНКОСЕРВИС</v>
          </cell>
        </row>
        <row r="303">
          <cell r="C303" t="str">
            <v>АОЗТ СТО ГАЗ</v>
          </cell>
        </row>
        <row r="304">
          <cell r="C304" t="str">
            <v>АОЗТ СТРАХОВАЯ ФИРМА АДОНИС</v>
          </cell>
        </row>
        <row r="305">
          <cell r="C305" t="str">
            <v>АОЗТ СТРОЙГАЗ</v>
          </cell>
        </row>
        <row r="306">
          <cell r="C306" t="str">
            <v>АОЗТ СТРОЙДЕТАЛЬ</v>
          </cell>
        </row>
        <row r="307">
          <cell r="C307" t="str">
            <v>АОЗТ СТРОЙДЕТАЛЬ</v>
          </cell>
        </row>
        <row r="308">
          <cell r="C308" t="str">
            <v>АОЗТ ТЕРН-УРАЛ</v>
          </cell>
        </row>
        <row r="309">
          <cell r="C309" t="str">
            <v>АОЗТ ТЕХИМПОРТ</v>
          </cell>
        </row>
        <row r="310">
          <cell r="C310" t="str">
            <v>АОЗТ ТЕХИМПОРТ</v>
          </cell>
        </row>
        <row r="311">
          <cell r="C311" t="str">
            <v>АОЗТ ТМК</v>
          </cell>
        </row>
        <row r="312">
          <cell r="C312" t="str">
            <v>АОЗТ ТРАДО</v>
          </cell>
        </row>
        <row r="313">
          <cell r="C313" t="str">
            <v>АОЗТ ТРЕСТ УРАЛЭНЕРГОМОНТАЖ</v>
          </cell>
        </row>
        <row r="314">
          <cell r="C314" t="str">
            <v>АОЗТ УМТС г.ЛЫСЬВА</v>
          </cell>
        </row>
        <row r="315">
          <cell r="C315" t="str">
            <v>АОЗТ УРАЛСНАБ</v>
          </cell>
        </row>
        <row r="316">
          <cell r="C316" t="str">
            <v>АОЗТ УРАЛЬСК.ИНВЕСТИЦИОННАЯ ГРУППА</v>
          </cell>
        </row>
        <row r="317">
          <cell r="C317" t="str">
            <v>АОЗТ ФИЛИАЛ ПРЕДПРИЯТИЯ ГАКС</v>
          </cell>
        </row>
        <row r="318">
          <cell r="C318" t="str">
            <v>АОЗТ ФИРМА "АТ"</v>
          </cell>
        </row>
        <row r="319">
          <cell r="C319" t="str">
            <v>АОЗТ ФИРМА "АТ"</v>
          </cell>
        </row>
        <row r="320">
          <cell r="C320" t="str">
            <v>АОЗТ ФИРМА РПЦ-35</v>
          </cell>
        </row>
        <row r="321">
          <cell r="C321" t="str">
            <v>АОЗТ ХИМИК</v>
          </cell>
        </row>
        <row r="322">
          <cell r="C322" t="str">
            <v>АОЗТ ЦЕМЕНТ</v>
          </cell>
        </row>
        <row r="323">
          <cell r="C323" t="str">
            <v>АОЗТ ЧЗЭМ-АФК</v>
          </cell>
        </row>
        <row r="324">
          <cell r="C324" t="str">
            <v>АОЗТ ЭКОС</v>
          </cell>
        </row>
        <row r="325">
          <cell r="C325" t="str">
            <v>АОЗТ ЭКРОС</v>
          </cell>
        </row>
        <row r="326">
          <cell r="C326" t="str">
            <v>АОЗТ ЭКРОС-БАЛТ</v>
          </cell>
        </row>
        <row r="327">
          <cell r="C327" t="str">
            <v>АОЗТ ЭЛЕКТРО-ОВИМЭКС г.ЕКАТЕРИНБУРГ</v>
          </cell>
        </row>
        <row r="328">
          <cell r="C328" t="str">
            <v>АОЗТ ЭЛКО</v>
          </cell>
        </row>
        <row r="329">
          <cell r="C329" t="str">
            <v>АОМЗ НЕФТЕМАШ</v>
          </cell>
        </row>
        <row r="330">
          <cell r="C330" t="str">
            <v>АООТ АВИСМА</v>
          </cell>
        </row>
        <row r="331">
          <cell r="C331" t="str">
            <v>АООТ АВИСМА</v>
          </cell>
        </row>
        <row r="332">
          <cell r="C332" t="str">
            <v>АООТ АЗОВСКИЙ</v>
          </cell>
        </row>
        <row r="333">
          <cell r="C333" t="str">
            <v>АООТ АЗОВСКИЙ</v>
          </cell>
        </row>
        <row r="334">
          <cell r="C334" t="str">
            <v>АООТ АЗОТ</v>
          </cell>
        </row>
        <row r="335">
          <cell r="C335" t="str">
            <v>АООТ АЗОТ</v>
          </cell>
        </row>
        <row r="336">
          <cell r="C336" t="str">
            <v>АООТ АЗРСМ</v>
          </cell>
        </row>
        <row r="337">
          <cell r="C337" t="str">
            <v>АООТ АЛНАС г.АЛЬМЕТЬЕВСК</v>
          </cell>
        </row>
        <row r="338">
          <cell r="C338" t="str">
            <v>АООТ АЛНАС г.АЛЬМЕТЬЕВСК</v>
          </cell>
        </row>
        <row r="339">
          <cell r="C339" t="str">
            <v>АООТ АР КРАСНОКАМСК</v>
          </cell>
        </row>
        <row r="340">
          <cell r="C340" t="str">
            <v>АООТ АРГОС</v>
          </cell>
        </row>
        <row r="341">
          <cell r="C341" t="str">
            <v>АООТ АТПФ ПЕРМСКИЙ ХЛАДОКОМБИНАТ</v>
          </cell>
        </row>
        <row r="342">
          <cell r="C342" t="str">
            <v>АООТ БАШЭЛЕКТРОРЕМОНТ</v>
          </cell>
        </row>
        <row r="343">
          <cell r="C343" t="str">
            <v>АООТ БЕРСТРОМ</v>
          </cell>
        </row>
        <row r="344">
          <cell r="C344" t="str">
            <v>АООТ БЕРСТРОМ</v>
          </cell>
        </row>
        <row r="345">
          <cell r="C345" t="str">
            <v>АООТ ГИПСОПОЛИМЕР</v>
          </cell>
        </row>
        <row r="346">
          <cell r="C346" t="str">
            <v>АООТ ГИПСОПОЛИМЕР</v>
          </cell>
        </row>
        <row r="347">
          <cell r="C347" t="str">
            <v>АООТ ДОБРЯНКА-ХЛЕБ</v>
          </cell>
        </row>
        <row r="348">
          <cell r="C348" t="str">
            <v>АООТ ДОБРЯНКА-ХЛЕБ</v>
          </cell>
        </row>
        <row r="349">
          <cell r="C349" t="str">
            <v>АООТ ДОБРЯНКА-ХЛЕБ</v>
          </cell>
        </row>
        <row r="350">
          <cell r="C350" t="str">
            <v>АООТ ДОБРЯНСКИЙ РМЗ</v>
          </cell>
        </row>
        <row r="351">
          <cell r="C351" t="str">
            <v>АООТ ДОБРЯНСКИЙ РМЗ</v>
          </cell>
        </row>
        <row r="352">
          <cell r="C352" t="str">
            <v>АООТ ДОРОГОБУЖКОТЛОМАШ</v>
          </cell>
        </row>
        <row r="353">
          <cell r="C353" t="str">
            <v>АООТ ЗЭИМ</v>
          </cell>
        </row>
        <row r="354">
          <cell r="C354" t="str">
            <v>АООТ КАУСТИК</v>
          </cell>
        </row>
        <row r="355">
          <cell r="C355" t="str">
            <v>АООТ КИРСИНСКИЙ КАБЕЛЬНЫЙ З-Д</v>
          </cell>
        </row>
        <row r="356">
          <cell r="C356" t="str">
            <v>АООТ КМТС ЛЕСПРОМ</v>
          </cell>
        </row>
        <row r="357">
          <cell r="C357" t="str">
            <v>АООТ КОМБИКОРМА ПРИКАМЬЯ</v>
          </cell>
        </row>
        <row r="358">
          <cell r="C358" t="str">
            <v>АООТ КРАСНЫЙ ПРОЛЕТАРИЙ</v>
          </cell>
        </row>
        <row r="359">
          <cell r="C359" t="str">
            <v>АООТ ЛЕСКОМ</v>
          </cell>
        </row>
        <row r="360">
          <cell r="C360" t="str">
            <v>АООТ ЛЕСКОМ</v>
          </cell>
        </row>
        <row r="361">
          <cell r="C361" t="str">
            <v>АООТ МЗТА</v>
          </cell>
        </row>
        <row r="362">
          <cell r="C362" t="str">
            <v>АООТ МОНОЛИТ</v>
          </cell>
        </row>
        <row r="363">
          <cell r="C363" t="str">
            <v>АООТ МОСКОВСКИЙ З-Д ТЕПЛ.АВТОМАТИКИ</v>
          </cell>
        </row>
        <row r="364">
          <cell r="C364" t="str">
            <v>АООТ НОЧИНСКИЙ ЗАВОД</v>
          </cell>
        </row>
        <row r="365">
          <cell r="C365" t="str">
            <v>АООТ НПО ТЕХНОЛОГ</v>
          </cell>
        </row>
        <row r="366">
          <cell r="C366" t="str">
            <v>АООТ ПЕРМВТОРМЕТ</v>
          </cell>
        </row>
        <row r="367">
          <cell r="C367" t="str">
            <v>АООТ ПЕРМВТОРМЕТ</v>
          </cell>
        </row>
        <row r="368">
          <cell r="C368" t="str">
            <v>АООТ ПЕРММАШОПТТОРГ</v>
          </cell>
        </row>
        <row r="369">
          <cell r="C369" t="str">
            <v>АООТ ПЕРМСКАЯ ФАБРИКА ИГРУШКА</v>
          </cell>
        </row>
        <row r="370">
          <cell r="C370" t="str">
            <v>АООТ ПЕРМСКИЙ АВТОЦЕНТР КАМАЗ</v>
          </cell>
        </row>
        <row r="371">
          <cell r="C371" t="str">
            <v>АООТ ПЕРМСТРОЙОПТОРГ</v>
          </cell>
        </row>
        <row r="372">
          <cell r="C372" t="str">
            <v>АООТ ПКТБ ХИММАШ</v>
          </cell>
        </row>
        <row r="373">
          <cell r="C373" t="str">
            <v>АООТ ПЛАСТПОЛИМЕР</v>
          </cell>
        </row>
        <row r="374">
          <cell r="C374" t="str">
            <v>АООТ ПРРЭС</v>
          </cell>
        </row>
        <row r="375">
          <cell r="C375" t="str">
            <v>АООТ РЕМЗАВОД П.ГАЙНЫ</v>
          </cell>
        </row>
        <row r="376">
          <cell r="C376" t="str">
            <v>АООТ СЕМЕНОВСКИЙ АРМАТУРНЫЙ З-Д</v>
          </cell>
        </row>
        <row r="377">
          <cell r="C377" t="str">
            <v>АООТ СОЛИКАМСКАЯ П/Ф РОДНИКОВСКАЯ</v>
          </cell>
        </row>
        <row r="378">
          <cell r="C378" t="str">
            <v>АООТ СОЛИКАМСКОЕ ХЛЕБОПР.ПР-Е</v>
          </cell>
        </row>
        <row r="379">
          <cell r="C379" t="str">
            <v>АООТ СПКБ СВЕРДЛОВСКОЕ</v>
          </cell>
        </row>
        <row r="380">
          <cell r="C380" t="str">
            <v>АООТ СТЕМП</v>
          </cell>
        </row>
        <row r="381">
          <cell r="C381" t="str">
            <v>АООТ СТРОЙПАНЕЛЬКОМПЛЕКТ</v>
          </cell>
        </row>
        <row r="382">
          <cell r="C382" t="str">
            <v>АООТ СУ ПЕРМЭНЕРГОЖИЛСТРОЙ</v>
          </cell>
        </row>
        <row r="383">
          <cell r="C383" t="str">
            <v>АООТ СУ ПЕРМЭНЕРГОЖИЛСТРОЙ</v>
          </cell>
        </row>
        <row r="384">
          <cell r="C384" t="str">
            <v>АООТ СУ ПЕРМЭНЕРГОЖИЛСТРОЙ</v>
          </cell>
        </row>
        <row r="385">
          <cell r="C385" t="str">
            <v>АООТ СУХОЛОЖСКИЙ ОГНЕУПОРНЫЙ ЗАВОД</v>
          </cell>
        </row>
        <row r="386">
          <cell r="C386" t="str">
            <v>АООТ ТАВДИНСКИЙ ГИДРОЛИЗНЫЙ ЗАВОД</v>
          </cell>
        </row>
        <row r="387">
          <cell r="C387" t="str">
            <v>АООТ ТД ТРИАДА</v>
          </cell>
        </row>
        <row r="388">
          <cell r="C388" t="str">
            <v>АООТ ТЕЛТА</v>
          </cell>
        </row>
        <row r="389">
          <cell r="C389" t="str">
            <v>АООТ ТОРГОВЫЙ ЦЕНТР АГРОС</v>
          </cell>
        </row>
        <row r="390">
          <cell r="C390" t="str">
            <v>АООТ ТРИГ</v>
          </cell>
        </row>
        <row r="391">
          <cell r="C391" t="str">
            <v>АООТ ТРУБОИЗОЛЯЦИЯ</v>
          </cell>
        </row>
        <row r="392">
          <cell r="C392" t="str">
            <v>АООТ УПИ-ХИМ-ХОЛДИНГ</v>
          </cell>
        </row>
        <row r="393">
          <cell r="C393" t="str">
            <v>АООТ УПТК ТРЕСТ БПСО</v>
          </cell>
        </row>
        <row r="394">
          <cell r="C394" t="str">
            <v>АООТ УРАЛСИБСПЕЦСТРОЙ</v>
          </cell>
        </row>
        <row r="395">
          <cell r="C395" t="str">
            <v>АООТ УРАЛСИБСПЕЦСТРОЙ</v>
          </cell>
        </row>
        <row r="396">
          <cell r="C396" t="str">
            <v>АООТ ХИМРЕАКТИВКОМПЛЕКТ</v>
          </cell>
        </row>
        <row r="397">
          <cell r="C397" t="str">
            <v>АООТ ЭНА</v>
          </cell>
        </row>
        <row r="398">
          <cell r="C398" t="str">
            <v>АП ЗАВОД РЕЗЕР. МЕТАЛЛОВ</v>
          </cell>
        </row>
        <row r="399">
          <cell r="C399" t="str">
            <v>АП МЕДПРИБОР</v>
          </cell>
        </row>
        <row r="400">
          <cell r="C400" t="str">
            <v>АП ПЕРМРЫБА</v>
          </cell>
        </row>
        <row r="401">
          <cell r="C401" t="str">
            <v>АП ТЕЛТА</v>
          </cell>
        </row>
        <row r="402">
          <cell r="C402" t="str">
            <v>АППАРАТ УПРАВЛЕНИЯ</v>
          </cell>
        </row>
        <row r="403">
          <cell r="C403" t="str">
            <v>АППАРАТ УПРАВЛЕНИЯ        за баланс</v>
          </cell>
        </row>
        <row r="404">
          <cell r="C404" t="str">
            <v>АПРАКСИНА О.Н.</v>
          </cell>
        </row>
        <row r="405">
          <cell r="C405" t="str">
            <v>АРТЕМОВ А.А.</v>
          </cell>
        </row>
        <row r="406">
          <cell r="C406" t="str">
            <v>АРТИСТИЧЕСКОЕ АГ-ВО ЭНЕРГИЯ</v>
          </cell>
        </row>
        <row r="407">
          <cell r="C407" t="str">
            <v>АСКЕРН</v>
          </cell>
        </row>
        <row r="408">
          <cell r="C408" t="str">
            <v>АССОЦИАЦИЯ АСКОР</v>
          </cell>
        </row>
        <row r="409">
          <cell r="C409" t="str">
            <v>АССОЦИАЦИЯ БУХГАЛТЕРОВ ПЕРМСКОЙ ОБЛАСТИ</v>
          </cell>
        </row>
        <row r="410">
          <cell r="C410" t="str">
            <v>АССОЦИАЦИЯ ПЛАВАТЕЛЬНЫХ БАССЕЙНОВ</v>
          </cell>
        </row>
        <row r="411">
          <cell r="C411" t="str">
            <v>АССОЦИАЦИЯ РАБОТНИКОВ САНАТОРИЕВ-ПРОФИЛАКТОРИЕВ</v>
          </cell>
        </row>
        <row r="412">
          <cell r="C412" t="str">
            <v>АТП Ф-Л АФ УРАЛГАЗСЕРВИС</v>
          </cell>
        </row>
        <row r="413">
          <cell r="C413" t="str">
            <v>АФ ТРЕСТ ВНГЭМ</v>
          </cell>
        </row>
        <row r="414">
          <cell r="C414" t="str">
            <v>АФ УРАЛГАЗСЕРВИС</v>
          </cell>
        </row>
        <row r="415">
          <cell r="C415" t="str">
            <v>АФ УРАЛГАЗСЕРВИС УЧЕБНО-КУРСОВОЙ К-Т</v>
          </cell>
        </row>
        <row r="416">
          <cell r="C416" t="str">
            <v>АФ УРАЛГАЗСЕРВИС-ДОБРЯНСКОЕ ПРЕД-ВО</v>
          </cell>
        </row>
        <row r="417">
          <cell r="C417" t="str">
            <v>АФ УРАЛГАЗСЕРВИС-ДОБРЯНСКОЕ ПРЕД-ВО</v>
          </cell>
        </row>
        <row r="418">
          <cell r="C418" t="str">
            <v>АФ УРАЛГАЗСЕРВИС-ПЕРМСКАЯ ДИРЕКЦИЯ</v>
          </cell>
        </row>
        <row r="419">
          <cell r="C419" t="str">
            <v>АХТЫРСКОЕ УТТ</v>
          </cell>
        </row>
        <row r="420">
          <cell r="C420" t="str">
            <v>Б/О БОБР.КУЛИГИН В.П.</v>
          </cell>
        </row>
        <row r="421">
          <cell r="C421" t="str">
            <v>Б/О БОБРОВО</v>
          </cell>
        </row>
        <row r="422">
          <cell r="C422" t="str">
            <v>Б/О БОБРОВО               за баланс</v>
          </cell>
        </row>
        <row r="423">
          <cell r="C423" t="str">
            <v>БАЗА ОТДЫХА БОБРОВО</v>
          </cell>
        </row>
        <row r="424">
          <cell r="C424" t="str">
            <v>БАЗА ОТДЫХА СВЯЗИСТ</v>
          </cell>
        </row>
        <row r="425">
          <cell r="C425" t="str">
            <v>БАЙДИНА ВЕНЕРА Г.</v>
          </cell>
        </row>
        <row r="426">
          <cell r="C426" t="str">
            <v>БАННО-ПРАЧЕЧНЫЙ КОМБ-Т г.СОЛИКАМСК</v>
          </cell>
        </row>
        <row r="427">
          <cell r="C427" t="str">
            <v>БАРСУКОВ В.С.</v>
          </cell>
        </row>
        <row r="428">
          <cell r="C428" t="str">
            <v>БАССЕЙН</v>
          </cell>
        </row>
        <row r="429">
          <cell r="C429" t="str">
            <v>БАШКИРСК.ОБЛ.ПРАВ.</v>
          </cell>
        </row>
        <row r="430">
          <cell r="C430" t="str">
            <v>БАШПРОМБАНК ФИЛИАЛ НЕФТЕКАМСКИЙ</v>
          </cell>
        </row>
        <row r="431">
          <cell r="C431" t="str">
            <v>БЕЛОВ С.В.</v>
          </cell>
        </row>
        <row r="432">
          <cell r="C432" t="str">
            <v>БЕЛОВ С.В.</v>
          </cell>
        </row>
        <row r="433">
          <cell r="C433" t="str">
            <v>БЕРЕЗН.ПУ ВОДОПР.-КАНАЛИЗАЦ.ХОЗ-ВА</v>
          </cell>
        </row>
        <row r="434">
          <cell r="C434" t="str">
            <v>БЕРЕЗНИКОВСКАЯ ГОРБОЛЬНИЦА-2</v>
          </cell>
        </row>
        <row r="435">
          <cell r="C435" t="str">
            <v>БЕРЕЗНИКОВСКАЯ МЕБЕЛЬ-Я Ф-КА УРАЛ</v>
          </cell>
        </row>
        <row r="436">
          <cell r="C436" t="str">
            <v>БЕРЕЗНИКОВСКАЯ МЕБЕЛЬ-Я Ф-КА УРАЛ</v>
          </cell>
        </row>
        <row r="437">
          <cell r="C437" t="str">
            <v>БЕРЕЗНИКОВСКАЯ Н/БАЗА</v>
          </cell>
        </row>
        <row r="438">
          <cell r="C438" t="str">
            <v>БЕРЕЗНИКОВСКАЯ Н/БАЗА</v>
          </cell>
        </row>
        <row r="439">
          <cell r="C439" t="str">
            <v>БЕРЕЗНИКОВСКАЯ ТЭЦ №-2</v>
          </cell>
        </row>
        <row r="440">
          <cell r="C440" t="str">
            <v>БЕРЕЗНИКОВСКИЕ КОММУНАЛЬНЫЕ ЭЛ/СЕТИ</v>
          </cell>
        </row>
        <row r="441">
          <cell r="C441" t="str">
            <v>БЕРЕЗНИКОВСКИЕ КТС</v>
          </cell>
        </row>
        <row r="442">
          <cell r="C442" t="str">
            <v>БЕРЕЗНИКОВСКИЕ ЭЛ/СЕТИ АО ПЕРМЭНЕРГО</v>
          </cell>
        </row>
        <row r="443">
          <cell r="C443" t="str">
            <v>БЕРЕЗНИКОВСКИЙ БАННО-ПРАЧ.КОМБИНАТ</v>
          </cell>
        </row>
        <row r="444">
          <cell r="C444" t="str">
            <v>БЕРЕЗНИКОВСКИЙ Д/С 49 ГУОМ</v>
          </cell>
        </row>
        <row r="445">
          <cell r="C445" t="str">
            <v>БЕРЕЗНИКОВСКИЙ Д/С 5 ГУОМ</v>
          </cell>
        </row>
        <row r="446">
          <cell r="C446" t="str">
            <v>БЕРЕЗНИКОВСКИЙ Д/С 58 ГУОМ</v>
          </cell>
        </row>
        <row r="447">
          <cell r="C447" t="str">
            <v>БЕРЕЗНИКОВСКИЙ Д/С 60 ГУОМ</v>
          </cell>
        </row>
        <row r="448">
          <cell r="C448" t="str">
            <v>БЕРЕЗНИКОВСКИЙ Д/С 62 ГУОМ</v>
          </cell>
        </row>
        <row r="449">
          <cell r="C449" t="str">
            <v>БЕРЕЗНИКОВСКИЙ Д/С 64 ГУОМ</v>
          </cell>
        </row>
        <row r="450">
          <cell r="C450" t="str">
            <v>БЕРЕЗНИКОВСКИЙ Д/С 74 ГУОМ</v>
          </cell>
        </row>
        <row r="451">
          <cell r="C451" t="str">
            <v>БЕРЕЗНИКОВСКИЙ Д/С-34 ГУОМ</v>
          </cell>
        </row>
        <row r="452">
          <cell r="C452" t="str">
            <v>БЕРЕЗНИКОВСКИЙ Д/С-89 ГУОМ</v>
          </cell>
        </row>
        <row r="453">
          <cell r="C453" t="str">
            <v>БЕРЕЗНИКОВСКИЙ З-Д СТРОЙМАТЕРИАЛОВ</v>
          </cell>
        </row>
        <row r="454">
          <cell r="C454" t="str">
            <v>БЕРЕЗНИКОВСКИЙ З-Д СТРОЙМАТЕРИАЛОВ</v>
          </cell>
        </row>
        <row r="455">
          <cell r="C455" t="str">
            <v>БЕРЕЗНИКОВСКИЙ КОМ-Т ПО ОХРАНЕ ПРИР</v>
          </cell>
        </row>
        <row r="456">
          <cell r="C456" t="str">
            <v>БЕРЕЗНИКОВСКИЙ ЛЕСХОЗ</v>
          </cell>
        </row>
        <row r="457">
          <cell r="C457" t="str">
            <v>БЕРЕЗНИКОВСКИЙ МЕСТНЫЙ БЮДЖЕТ</v>
          </cell>
        </row>
        <row r="458">
          <cell r="C458" t="str">
            <v>БЕРЕЗНИКОВСКИЙ Ф-Л ОАО ПЕРМТОРГНЕФТЬ</v>
          </cell>
        </row>
        <row r="459">
          <cell r="C459" t="str">
            <v>БЕРЕЗНИКОВСКИЙ Ф-Л ОАО ПЕРМТОРГНЕФТЬ</v>
          </cell>
        </row>
        <row r="460">
          <cell r="C460" t="str">
            <v>БЕРЕЗНИКОВСКИЙ ХИМИЧЕСКИЙ ЗАВОД</v>
          </cell>
        </row>
        <row r="461">
          <cell r="C461" t="str">
            <v>БЕРЕЗНИКОВСКИЙ ХИМИЧЕСКИЙ ЗАВОД</v>
          </cell>
        </row>
        <row r="462">
          <cell r="C462" t="str">
            <v>БЕРЕЗНИКОВСКИЙ ЦЕНТР ГСЭН</v>
          </cell>
        </row>
        <row r="463">
          <cell r="C463" t="str">
            <v>БЕРЕЗНИКОВСКИЙ ЭТУС</v>
          </cell>
        </row>
        <row r="464">
          <cell r="C464" t="str">
            <v>БЕРЕЗНИКОВСКОЕ АО ГИДРОСПЕЦСТРОЙ</v>
          </cell>
        </row>
        <row r="465">
          <cell r="C465" t="str">
            <v>БЕРЕЗНИКОВСКОЕ АТП</v>
          </cell>
        </row>
        <row r="466">
          <cell r="C466" t="str">
            <v>БЕРЕЗНИКОВСКОЕ АТП</v>
          </cell>
        </row>
        <row r="467">
          <cell r="C467" t="str">
            <v>БЕРЕЗНИКОВСКОЕ БПСО</v>
          </cell>
        </row>
        <row r="468">
          <cell r="C468" t="str">
            <v>БЕРЕЗНИКОВСКОЕ БПСО</v>
          </cell>
        </row>
        <row r="469">
          <cell r="C469" t="str">
            <v>БЕРЕЗНИКОВСКОЕ ОГПС-1</v>
          </cell>
        </row>
        <row r="470">
          <cell r="C470" t="str">
            <v>БЕРЕЗНИКОВСКОЕ ОТД.ПРОФ.ДЕЗИНФЕКЦИИ</v>
          </cell>
        </row>
        <row r="471">
          <cell r="C471" t="str">
            <v>БЕРЕЗНИКОВСКОЕ ПРЕДПРИЯТИЕ КТС</v>
          </cell>
        </row>
        <row r="472">
          <cell r="C472" t="str">
            <v>БНПУ</v>
          </cell>
        </row>
        <row r="473">
          <cell r="C473" t="str">
            <v>БНПУ                      за баланс</v>
          </cell>
        </row>
        <row r="474">
          <cell r="C474" t="str">
            <v>БОБР.КУЛИГИН В.П.СЧ.10/3</v>
          </cell>
        </row>
        <row r="475">
          <cell r="C475" t="str">
            <v>БОБРОВ Н.Г.</v>
          </cell>
        </row>
        <row r="476">
          <cell r="C476" t="str">
            <v>БОГАТЫРЕВ А.И.</v>
          </cell>
        </row>
        <row r="477">
          <cell r="C477" t="str">
            <v>БОГДАНОВСКИЙ ФАРФОРОВЫЙ ЗАВОД</v>
          </cell>
        </row>
        <row r="478">
          <cell r="C478" t="str">
            <v>БОГДАНОВСКИЙ ФАРФОРОВЫЙ ЗАВОД</v>
          </cell>
        </row>
        <row r="479">
          <cell r="C479" t="str">
            <v>БОРОДАЙ В.Н.</v>
          </cell>
        </row>
        <row r="480">
          <cell r="C480" t="str">
            <v>БОЦЕВИЧ Л.Н.</v>
          </cell>
        </row>
        <row r="481">
          <cell r="C481" t="str">
            <v>БПО</v>
          </cell>
        </row>
        <row r="482">
          <cell r="C482" t="str">
            <v>БПО                       за баланс</v>
          </cell>
        </row>
        <row r="483">
          <cell r="C483" t="str">
            <v>БРАТУХИН С.Ю.</v>
          </cell>
        </row>
        <row r="484">
          <cell r="C484" t="str">
            <v>БРЕЗГИН А.Р.</v>
          </cell>
        </row>
        <row r="485">
          <cell r="C485" t="str">
            <v>БРЮХАНОВА Н.И.</v>
          </cell>
        </row>
        <row r="486">
          <cell r="C486" t="str">
            <v>БТИ Г.СОЛИКАМСК</v>
          </cell>
        </row>
        <row r="487">
          <cell r="C487" t="str">
            <v>БУГУЛЬМ.ОП.З-Д НЕФТЕАВТОМАТИКА</v>
          </cell>
        </row>
        <row r="488">
          <cell r="C488" t="str">
            <v>БУГУЛЬМ.ОП.З-Д НЕФТЕАВТОМАТИКА</v>
          </cell>
        </row>
        <row r="489">
          <cell r="C489" t="str">
            <v>БУГУЛЬМИНСКИЙ З-Д ЭЛ/ТЕХНИЧЕСКОГО ОБОРУДОВАНИЯ</v>
          </cell>
        </row>
        <row r="490">
          <cell r="C490" t="str">
            <v>БУРАКОВ В.А.</v>
          </cell>
        </row>
        <row r="491">
          <cell r="C491" t="str">
            <v>В/ЧАСТЬ 28060</v>
          </cell>
        </row>
        <row r="492">
          <cell r="C492" t="str">
            <v>В/ЧАСТЬ 42377</v>
          </cell>
        </row>
        <row r="493">
          <cell r="C493" t="str">
            <v>ВАВИЛОВ А.И.</v>
          </cell>
        </row>
        <row r="494">
          <cell r="C494" t="str">
            <v>ВАВЩУК Л.Н.</v>
          </cell>
        </row>
        <row r="495">
          <cell r="C495" t="str">
            <v>ВАРЛАМОВ В.П.</v>
          </cell>
        </row>
        <row r="496">
          <cell r="C496" t="str">
            <v>ВАСИЛЬЕВ А.А</v>
          </cell>
        </row>
        <row r="497">
          <cell r="C497" t="str">
            <v>ВДОВИН М.П.</v>
          </cell>
        </row>
        <row r="498">
          <cell r="C498" t="str">
            <v>ВДОВИН П.П.</v>
          </cell>
        </row>
        <row r="499">
          <cell r="C499" t="str">
            <v>ВДОВИНА Т.М.</v>
          </cell>
        </row>
        <row r="500">
          <cell r="C500" t="str">
            <v>ВЕНЦСПИЛС</v>
          </cell>
        </row>
        <row r="501">
          <cell r="C501" t="str">
            <v>ВЕПРИКОВ Н.Б.</v>
          </cell>
        </row>
        <row r="502">
          <cell r="C502" t="str">
            <v>ВЕРЕВКИН В.С.</v>
          </cell>
        </row>
        <row r="503">
          <cell r="C503" t="str">
            <v>ВЕРЕЩАГИНСКИЙ ЗАВОД ЖБК</v>
          </cell>
        </row>
        <row r="504">
          <cell r="C504" t="str">
            <v>ВЕРЕЩАГИНСКИЙ ЗАВОД ЖБК</v>
          </cell>
        </row>
        <row r="505">
          <cell r="C505" t="str">
            <v>ВЕРТ.СУББОТИНА Л.А.</v>
          </cell>
        </row>
        <row r="506">
          <cell r="C506" t="str">
            <v>ВЕРТОЛЕТНАЯ</v>
          </cell>
        </row>
        <row r="507">
          <cell r="C507" t="str">
            <v>ВЕРТОЛЕТНАЯ               за баланс</v>
          </cell>
        </row>
        <row r="508">
          <cell r="C508" t="str">
            <v>ВЕРХНЕКАМСКИЙ РЕГ ЦЕНТР КАУРИ</v>
          </cell>
        </row>
        <row r="509">
          <cell r="C509" t="str">
            <v>ВЕРХНЕКАМСКИЙ РЕГИОНАЛ.ЦЕНТР КАДРЫ</v>
          </cell>
        </row>
        <row r="510">
          <cell r="C510" t="str">
            <v>ВЕРХНЕКАМСКИЙ Р-Н ВОДНЫХ ПУТЕЙ</v>
          </cell>
        </row>
        <row r="511">
          <cell r="C511" t="str">
            <v>ВЛАСОВ А.А.</v>
          </cell>
        </row>
        <row r="512">
          <cell r="C512" t="str">
            <v>ВМП ЭНЭКО</v>
          </cell>
        </row>
        <row r="513">
          <cell r="C513" t="str">
            <v>ВНГО НГП</v>
          </cell>
        </row>
        <row r="514">
          <cell r="C514" t="str">
            <v>ВНЕБЮДЖЕТНЫЙ ЭКОЛОГИЧЕСКИЙ ФОНД</v>
          </cell>
        </row>
        <row r="515">
          <cell r="C515" t="str">
            <v>ВНЕДРЕНЧЕСКОЕ ПР-Е СОТРУДНИК</v>
          </cell>
        </row>
        <row r="516">
          <cell r="C516" t="str">
            <v>ВНИИ ИНФОРМЭНЕРГО</v>
          </cell>
        </row>
        <row r="517">
          <cell r="C517" t="str">
            <v>ВНИИ ПРОМЫШЛЕННАЯ ЭКОЛОГИЯ</v>
          </cell>
        </row>
        <row r="518">
          <cell r="C518" t="str">
            <v>ВНИИБТ</v>
          </cell>
        </row>
        <row r="519">
          <cell r="C519" t="str">
            <v>ВНИКРНЕФТЬ</v>
          </cell>
        </row>
        <row r="520">
          <cell r="C520" t="str">
            <v>ВНИПИПТ</v>
          </cell>
        </row>
        <row r="521">
          <cell r="C521" t="str">
            <v>ВНПП ГРАНТ</v>
          </cell>
        </row>
        <row r="522">
          <cell r="C522" t="str">
            <v>ВОЕННЫЙ КОМИССАРИАТ ДОБРЯНСКОГО Р-НА</v>
          </cell>
        </row>
        <row r="523">
          <cell r="C523" t="str">
            <v>ВОЕННЫЙ КОМИССАРИАТ ДОБРЯНСКОГО Р-НА</v>
          </cell>
        </row>
        <row r="524">
          <cell r="C524" t="str">
            <v>ВОЛГОГРАДСКИЙ ЗАВОД БУРОВОЙ ТЕХНИКИ</v>
          </cell>
        </row>
        <row r="525">
          <cell r="C525" t="str">
            <v>ВОЛКОВ Г.Ю.</v>
          </cell>
        </row>
        <row r="526">
          <cell r="C526" t="str">
            <v>ВОЛЬФ А.А.</v>
          </cell>
        </row>
        <row r="527">
          <cell r="C527" t="str">
            <v>ВОСТОКНЕФТЕГАЗ</v>
          </cell>
        </row>
        <row r="528">
          <cell r="C528" t="str">
            <v>ВПЧ</v>
          </cell>
        </row>
        <row r="529">
          <cell r="C529" t="str">
            <v>ВПЧ                       за баланс</v>
          </cell>
        </row>
        <row r="530">
          <cell r="C530" t="str">
            <v>ВПЧ ВАСИЛЬЕВА Т.А.</v>
          </cell>
        </row>
        <row r="531">
          <cell r="C531" t="str">
            <v>ВСЕРОС.МУЗ.ОБЩЕСТВО ПРОИЗВ.КОМБИНАТ</v>
          </cell>
        </row>
        <row r="532">
          <cell r="C532" t="str">
            <v>ВСЕРОССИЙСКИЙ ЦЕНТР РАЗВИТИЯ ПЕРСОНАЛА МИНТРУДА РФ</v>
          </cell>
        </row>
        <row r="533">
          <cell r="C533" t="str">
            <v>ВТОО ЛОИС</v>
          </cell>
        </row>
        <row r="534">
          <cell r="C534" t="str">
            <v>ВТОРОЙ ПЕРМСКИЙ АВИАОТРЯД</v>
          </cell>
        </row>
        <row r="535">
          <cell r="C535" t="str">
            <v>ВТОРОЙ ПЕРМСКИЙ АВИАОТРЯД</v>
          </cell>
        </row>
        <row r="536">
          <cell r="C536" t="str">
            <v>ВЦ КАЛИНИН И.В.</v>
          </cell>
        </row>
        <row r="537">
          <cell r="C537" t="str">
            <v>ГАГЕГ</v>
          </cell>
        </row>
        <row r="538">
          <cell r="C538" t="str">
            <v>ГАЗОАППАРАТ</v>
          </cell>
        </row>
        <row r="539">
          <cell r="C539" t="str">
            <v>ГАИ УВД</v>
          </cell>
        </row>
        <row r="540">
          <cell r="C540" t="str">
            <v>ГАЛКИН А.Ю.</v>
          </cell>
        </row>
        <row r="541">
          <cell r="C541" t="str">
            <v>ГЕРМАНО-РОССИЙСКОЕ ПРЕДПРИЯТИЕ</v>
          </cell>
        </row>
        <row r="542">
          <cell r="C542" t="str">
            <v>ГИДРОСПЕЦСТРОЙ</v>
          </cell>
        </row>
        <row r="543">
          <cell r="C543" t="str">
            <v>ГИДРОСПЕЦСТРОЙ</v>
          </cell>
        </row>
        <row r="544">
          <cell r="C544" t="str">
            <v>ГИЗБРЕХТ</v>
          </cell>
        </row>
        <row r="545">
          <cell r="C545" t="str">
            <v>ГИЛИМЗЯНОВ М.Х.</v>
          </cell>
        </row>
        <row r="546">
          <cell r="C546" t="str">
            <v>ГЛАВГОСЭНЕРГОНАДЗОР</v>
          </cell>
        </row>
        <row r="547">
          <cell r="C547" t="str">
            <v>ГЛАВНОЕ УПР.ПРИРОДОПОЛЬЗОВАНИЯ АДМ.ПЕРМС.ОБЛ.</v>
          </cell>
        </row>
        <row r="548">
          <cell r="C548" t="str">
            <v>ГЛЫЗИНА Н.М.</v>
          </cell>
        </row>
        <row r="549">
          <cell r="C549" t="str">
            <v>ГОЛУБЦОВА Л.С.</v>
          </cell>
        </row>
        <row r="550">
          <cell r="C550" t="str">
            <v>ГОМАН В.М.</v>
          </cell>
        </row>
        <row r="551">
          <cell r="C551" t="str">
            <v>ГОМЕОПАТ.АПТЕКА МЕДЕЯ</v>
          </cell>
        </row>
        <row r="552">
          <cell r="C552" t="str">
            <v>ГОНТАРЬ А.П.</v>
          </cell>
        </row>
        <row r="553">
          <cell r="C553" t="str">
            <v>ГОНТАРЬ А.П.              за баланс</v>
          </cell>
        </row>
        <row r="554">
          <cell r="C554" t="str">
            <v>ГОРНЫЙ ИНСТИТУТ УРАЛ.ОТДЕЛЕНИЕ РАН</v>
          </cell>
        </row>
        <row r="555">
          <cell r="C555" t="str">
            <v>ГОРНЫЙ ИНСТИТУТ УРО РАН</v>
          </cell>
        </row>
        <row r="556">
          <cell r="C556" t="str">
            <v>ГОРОБЦОВ Е.А.</v>
          </cell>
        </row>
        <row r="557">
          <cell r="C557" t="str">
            <v>ГОРОДСКАЯ ТЕЛЕФОННАЯ СЕТЬ</v>
          </cell>
        </row>
        <row r="558">
          <cell r="C558" t="str">
            <v>ГОРОДСКОЙ ЭКОЛОГИЧЕСКИЙ ФОНД Г.АЛЕКСАНДРОВСК</v>
          </cell>
        </row>
        <row r="559">
          <cell r="C559" t="str">
            <v>ГОРЬКОВСКИЙ АВТОЗАВОД</v>
          </cell>
        </row>
        <row r="560">
          <cell r="C560" t="str">
            <v>ГОС.АКАДЕМИЯ им.ГУБКИНА</v>
          </cell>
        </row>
        <row r="561">
          <cell r="C561" t="str">
            <v>ГОС.ЗАВОД ИЖМАШ</v>
          </cell>
        </row>
        <row r="562">
          <cell r="C562" t="str">
            <v>ГОС.ИНСТ.ПРИКЛ.ХИМИИ</v>
          </cell>
        </row>
        <row r="563">
          <cell r="C563" t="str">
            <v>ГОС.ИН-Т ПРИКЛ.ХИМИИ</v>
          </cell>
        </row>
        <row r="564">
          <cell r="C564" t="str">
            <v>ГОС.ПРЕДПРИЯТИЕ НЕФТЯННИК</v>
          </cell>
        </row>
        <row r="565">
          <cell r="C565" t="str">
            <v>ГОСПЛЕМКОНЕЗАВОД ПЕРМСКИЙ</v>
          </cell>
        </row>
        <row r="566">
          <cell r="C566" t="str">
            <v>ГОСПЛЕМКОНЕЗАВОД ПЕРМСКИЙ</v>
          </cell>
        </row>
        <row r="567">
          <cell r="C567" t="str">
            <v>ГОССАНЭПИДНАДЗОР</v>
          </cell>
        </row>
        <row r="568">
          <cell r="C568" t="str">
            <v>ГОСТЕХНАДЗОР</v>
          </cell>
        </row>
        <row r="569">
          <cell r="C569" t="str">
            <v>ГОСТИНИЦА</v>
          </cell>
        </row>
        <row r="570">
          <cell r="C570" t="str">
            <v>ГОСТИНИЦА                 за баланс</v>
          </cell>
        </row>
        <row r="571">
          <cell r="C571" t="str">
            <v>ГОСУДАРСТ.УНИВ-Т ПО ЗЕМЛЕУСТРОЙСТВУ</v>
          </cell>
        </row>
        <row r="572">
          <cell r="C572" t="str">
            <v>ГОСУДАРСТВЕННОЕ НИ ПРЕДПРИЯТИЕ НИГЕП</v>
          </cell>
        </row>
        <row r="573">
          <cell r="C573" t="str">
            <v>ГОСУДАРСТВЕННОЕ ПРЕДПРИЯТИЕ РОСНЕФТ</v>
          </cell>
        </row>
        <row r="574">
          <cell r="C574" t="str">
            <v>ГП БЕЛГЕО БЕЛАРУСИЯ</v>
          </cell>
        </row>
        <row r="575">
          <cell r="C575" t="str">
            <v>ГП ВОЛГОГРАДСКИЙ ОПЫТНЫЙ З-Д ЭТАЛОН</v>
          </cell>
        </row>
        <row r="576">
          <cell r="C576" t="str">
            <v>ГП ГЕОЛЭКСПЕРТИЗА</v>
          </cell>
        </row>
        <row r="577">
          <cell r="C577" t="str">
            <v>ГП ДРСУ</v>
          </cell>
        </row>
        <row r="578">
          <cell r="C578" t="str">
            <v>ГП КУНГУРСКИЙ ОТКОРМОЧНЫЙ КОМПЛЕКС</v>
          </cell>
        </row>
        <row r="579">
          <cell r="C579" t="str">
            <v>ГП МОСКОВСКИЙ НЕФТЕМАСЛОЗАВОД</v>
          </cell>
        </row>
        <row r="580">
          <cell r="C580" t="str">
            <v>ГП ПЕРМАВТОДОР ДРСУ-2</v>
          </cell>
        </row>
        <row r="581">
          <cell r="C581" t="str">
            <v>ГП СЛИТ</v>
          </cell>
        </row>
        <row r="582">
          <cell r="C582" t="str">
            <v>ГП ТИПОГРАФИЯ 1</v>
          </cell>
        </row>
        <row r="583">
          <cell r="C583" t="str">
            <v>ГПЗ В.МУЛИНСКИЙ ТЕПЛИЧ КОМБ-Т "КРАСАВА"</v>
          </cell>
        </row>
        <row r="584">
          <cell r="C584" t="str">
            <v>ГПЗ В-МУЛЛИНСКИЙ ВСП ТК ПЕРМСКИЙ</v>
          </cell>
        </row>
        <row r="585">
          <cell r="C585" t="str">
            <v>ГПС ОРТПЦ ФИЛИАЛ СЕРВИС-ЦЕНТР</v>
          </cell>
        </row>
        <row r="586">
          <cell r="C586" t="str">
            <v>ГПС ПЕРМСКИЙ ОРТПЦ</v>
          </cell>
        </row>
        <row r="587">
          <cell r="C587" t="str">
            <v>ГПТУ</v>
          </cell>
        </row>
        <row r="588">
          <cell r="C588" t="str">
            <v>ГПТУ</v>
          </cell>
        </row>
        <row r="589">
          <cell r="C589" t="str">
            <v>ГРИВА М.И.</v>
          </cell>
        </row>
        <row r="590">
          <cell r="C590" t="str">
            <v>ГРОЦ МИНАТОМА</v>
          </cell>
        </row>
        <row r="591">
          <cell r="C591" t="str">
            <v>ГУ ЦБ РФ ПО ПЕРМСКОЙ ОБЛ.</v>
          </cell>
        </row>
        <row r="592">
          <cell r="C592" t="str">
            <v>ГУБИН В.А.</v>
          </cell>
        </row>
        <row r="593">
          <cell r="C593" t="str">
            <v>ГУП ЦЕНТР ПРОЕКТНОЙ ПРОДУКЦИИ</v>
          </cell>
        </row>
        <row r="594">
          <cell r="C594" t="str">
            <v>Д/О ВАЙГАНТ Н.Е.</v>
          </cell>
        </row>
        <row r="595">
          <cell r="C595" t="str">
            <v>Д/САД 8</v>
          </cell>
        </row>
        <row r="596">
          <cell r="C596" t="str">
            <v>Д/УПРАВЛЕНИЕ 2,ДИВЬЯ,ОБЩ.</v>
          </cell>
        </row>
        <row r="597">
          <cell r="C597" t="str">
            <v>Д/УПРАВЛЕНИЕ-1,3,4 И Ч/С</v>
          </cell>
        </row>
        <row r="598">
          <cell r="C598" t="str">
            <v>ДАО ВОСТОКТРАНСЭНЕРГО</v>
          </cell>
        </row>
        <row r="599">
          <cell r="C599" t="str">
            <v>ДАРЫ ПРИРОДЫ</v>
          </cell>
        </row>
        <row r="600">
          <cell r="C600" t="str">
            <v>ДАРЫ ПРИРОДЫ</v>
          </cell>
        </row>
        <row r="601">
          <cell r="C601" t="str">
            <v>ДДО НЕФТЕМАШ</v>
          </cell>
        </row>
        <row r="602">
          <cell r="C602" t="str">
            <v>ДЕВЕТЬЯРОВ В.Д.</v>
          </cell>
        </row>
        <row r="603">
          <cell r="C603" t="str">
            <v>ДЕВЯТОВ Р.Н.</v>
          </cell>
        </row>
        <row r="604">
          <cell r="C604" t="str">
            <v>ДЕМАКОВА Н.С.</v>
          </cell>
        </row>
        <row r="605">
          <cell r="C605" t="str">
            <v>ДЕПОНЕНТЫ ПО ПРЕМИИ</v>
          </cell>
        </row>
        <row r="606">
          <cell r="C606" t="str">
            <v>ДЕТСКИЕ ПОСОБИЯ</v>
          </cell>
        </row>
        <row r="607">
          <cell r="C607" t="str">
            <v>ДЕТСКИЙ АНСАМБЛЬ РОДНИКИ ПРИКАМЬЯ</v>
          </cell>
        </row>
        <row r="608">
          <cell r="C608" t="str">
            <v>ДЕТСКИЙ САД 89 БГУОМ</v>
          </cell>
        </row>
        <row r="609">
          <cell r="C609" t="str">
            <v>ДЕФ.ЛАБОР.ЛЯДОВ А.Н.</v>
          </cell>
        </row>
        <row r="610">
          <cell r="C610" t="str">
            <v>ДЕФ.ЛАБОР.ПЕРМЯКОВ Ю.Н.</v>
          </cell>
        </row>
        <row r="611">
          <cell r="C611" t="str">
            <v>ДЕФЕКТ.ЛАБОРАТОРИЯ        за баланс</v>
          </cell>
        </row>
        <row r="612">
          <cell r="C612" t="str">
            <v>ДЕФЕКТОСК.ЛАБОРАТОРИЯ</v>
          </cell>
        </row>
        <row r="613">
          <cell r="C613" t="str">
            <v>ДИВЬИНСКИЙ СЕЛЬСОВЕТ</v>
          </cell>
        </row>
        <row r="614">
          <cell r="C614" t="str">
            <v>ДИВЬИНСКИЙ СЕЛЬСОВЕТ</v>
          </cell>
        </row>
        <row r="615">
          <cell r="C615" t="str">
            <v>ДИМИЕВА О.В.</v>
          </cell>
        </row>
        <row r="616">
          <cell r="C616" t="str">
            <v>ДМУ ЗАО ТРЕСТА УЭМ</v>
          </cell>
        </row>
        <row r="617">
          <cell r="C617" t="str">
            <v>ДОАО МЕХКОЛОННА 11 АООТ УЭСС</v>
          </cell>
        </row>
        <row r="618">
          <cell r="C618" t="str">
            <v>ДОАО МЕХКОЛОННА 11 АООТ УЭСС</v>
          </cell>
        </row>
        <row r="619">
          <cell r="C619" t="str">
            <v>ДОБР.К-Т ПО ЗЕМЕЛЬН.РЕСУРСАМ И ЗЕМЛЕУСТРОЙСТВУ</v>
          </cell>
        </row>
        <row r="620">
          <cell r="C620" t="str">
            <v>ДОБР.УПР.АРХИТЕКТУРЫ И ГРАДОСТРОИТЕ</v>
          </cell>
        </row>
        <row r="621">
          <cell r="C621" t="str">
            <v>ДОБР.ФИЛИАЛ ТОО СТРАХ.КОМП-И ЛАЙНЕР</v>
          </cell>
        </row>
        <row r="622">
          <cell r="C622" t="str">
            <v>ДОБРОВОЛЬНОЕ СТРАХОВАНИЕ ПЕРМЬ-АСКО</v>
          </cell>
        </row>
        <row r="623">
          <cell r="C623" t="str">
            <v>ДОБРЯНС.РЕД-ЦИЯ ГАЗЕТЫ КАМСКИЕ ЗОРИ</v>
          </cell>
        </row>
        <row r="624">
          <cell r="C624" t="str">
            <v>ДОБРЯНСКАЯ АЗС</v>
          </cell>
        </row>
        <row r="625">
          <cell r="C625" t="str">
            <v>ДОБРЯНСКАЯ АЗС</v>
          </cell>
        </row>
        <row r="626">
          <cell r="C626" t="str">
            <v>ДОБРЯНСКАЯ ГОР.БОЛЬНИЦА-2</v>
          </cell>
        </row>
        <row r="627">
          <cell r="C627" t="str">
            <v>ДОБРЯНСКАЯ МУП ГОРОДСКОЙ РЫНОК</v>
          </cell>
        </row>
        <row r="628">
          <cell r="C628" t="str">
            <v>ДОБРЯНСКАЯ НЕФТЕБАЗА</v>
          </cell>
        </row>
        <row r="629">
          <cell r="C629" t="str">
            <v>ДОБРЯНСКАЯ РАЙ.ЗАГОТ.КОНТОРА</v>
          </cell>
        </row>
        <row r="630">
          <cell r="C630" t="str">
            <v>ДОБРЯНСКАЯ РАЙ.СТОМАТ.ПОЛИКЛИНИКА</v>
          </cell>
        </row>
        <row r="631">
          <cell r="C631" t="str">
            <v>ДОБРЯНСКАЯ РАЙ.СТОМАТ.ПОЛИКЛИНИКА</v>
          </cell>
        </row>
        <row r="632">
          <cell r="C632" t="str">
            <v>ДОБРЯНСКАЯ СТАНЦИЯ ПО БОРЬБЕ С БОЛЕЗНЯМИ ЖИВОТНЫХ</v>
          </cell>
        </row>
        <row r="633">
          <cell r="C633" t="str">
            <v>ДОБРЯНСКАЯ ТИПОГРАФИЯ</v>
          </cell>
        </row>
        <row r="634">
          <cell r="C634" t="str">
            <v>ДОБРЯНСКАЯ ТИПОГРАФИЯ</v>
          </cell>
        </row>
        <row r="635">
          <cell r="C635" t="str">
            <v>ДОБРЯНСКИЙ ГОРКООПТОРГ</v>
          </cell>
        </row>
        <row r="636">
          <cell r="C636" t="str">
            <v>ДОБРЯНСКИЙ ГОРОДСКОЙ СОВЕТ</v>
          </cell>
        </row>
        <row r="637">
          <cell r="C637" t="str">
            <v>ДОБРЯНСКИЙ ГОСКОМСТАТ</v>
          </cell>
        </row>
        <row r="638">
          <cell r="C638" t="str">
            <v>ДОБРЯНСКИЙ ЗАПАДУРАЛБАНК</v>
          </cell>
        </row>
        <row r="639">
          <cell r="C639" t="str">
            <v>ДОБРЯНСКИЙ КОМИТЕТ ПО ОХРАНЕ ПРИРОДЫ</v>
          </cell>
        </row>
        <row r="640">
          <cell r="C640" t="str">
            <v>ДОБРЯНСКИЙ ЛЕСХОЗ</v>
          </cell>
        </row>
        <row r="641">
          <cell r="C641" t="str">
            <v>ДОБРЯНСКИЙ ЛЕСХОЗ</v>
          </cell>
        </row>
        <row r="642">
          <cell r="C642" t="str">
            <v>ДОБРЯНСКИЙ МАСЛОЗАВОД</v>
          </cell>
        </row>
        <row r="643">
          <cell r="C643" t="str">
            <v>ДОБРЯНСКИЙ ОМЗ</v>
          </cell>
        </row>
        <row r="644">
          <cell r="C644" t="str">
            <v>ДОБРЯНСКИЙ РАЙИСПОЛКОМ</v>
          </cell>
        </row>
        <row r="645">
          <cell r="C645" t="str">
            <v>ДОБРЯНСКИЙ РАЙКОМ ПРОФСОЮЗОВ</v>
          </cell>
        </row>
        <row r="646">
          <cell r="C646" t="str">
            <v>ДОБРЯНСКИЙ РАЙОННЫЙ ЦЕНТР ГСЭН</v>
          </cell>
        </row>
        <row r="647">
          <cell r="C647" t="str">
            <v>ДОБРЯНСКИЙ РАЙОННЫЙ ЦЕНТР ГСЭН</v>
          </cell>
        </row>
        <row r="648">
          <cell r="C648" t="str">
            <v>ДОБРЯНСКИЙ ФИЛИАЛ ПЕРМКОМБАНКА</v>
          </cell>
        </row>
        <row r="649">
          <cell r="C649" t="str">
            <v>ДОБРЯНСКИЙ ФИЛИАЛ ПЕРМКОМБАНКА</v>
          </cell>
        </row>
        <row r="650">
          <cell r="C650" t="str">
            <v>ДОБРЯНСКИЙ ФИЛИАЛ СТРАХ.КОМП-И АСКО</v>
          </cell>
        </row>
        <row r="651">
          <cell r="C651" t="str">
            <v>ДОБРЯНСКИЙ ФОНД СОЦИАЛЬНОЙ ЗАЩИТЫ</v>
          </cell>
        </row>
        <row r="652">
          <cell r="C652" t="str">
            <v>ДОБРЯНСКИЙ ХОЗРАСЧ.РСУ</v>
          </cell>
        </row>
        <row r="653">
          <cell r="C653" t="str">
            <v>ДОБРЯНСКИЙ ХОЗРАСЧ.РСУ</v>
          </cell>
        </row>
        <row r="654">
          <cell r="C654" t="str">
            <v>ДОБРЯНСКИЙ ЦЕХ СВЯЗИ</v>
          </cell>
        </row>
        <row r="655">
          <cell r="C655" t="str">
            <v>ДОБРЯНСКОЕ АГРОПРОМЭНЕРГО</v>
          </cell>
        </row>
        <row r="656">
          <cell r="C656" t="str">
            <v>ДОБРЯНСКОЕ ДРСУ</v>
          </cell>
        </row>
        <row r="657">
          <cell r="C657" t="str">
            <v>ДОБРЯНСКОЕ ДРСУ</v>
          </cell>
        </row>
        <row r="658">
          <cell r="C658" t="str">
            <v>ДОБРЯНСКОЕ МУ УРАЛЭНЕРГОМОНТАЖ</v>
          </cell>
        </row>
        <row r="659">
          <cell r="C659" t="str">
            <v>ДОБРЯНСКОЕ ОТД-Е ФЕДЕР.КАЗН-ВА</v>
          </cell>
        </row>
        <row r="660">
          <cell r="C660" t="str">
            <v>ДОБРЯНСКОЕ ОТДЕЛЕНИЕ СБЕРБАНКА РФ</v>
          </cell>
        </row>
        <row r="661">
          <cell r="C661" t="str">
            <v>ДОБРЯНСКОЕ ПРЕДПРИЯТИЕ ФАРМАЦИЯ</v>
          </cell>
        </row>
        <row r="662">
          <cell r="C662" t="str">
            <v>ДОБРЯНСКОЕ ПРЕДПРИЯТИЕ ФАРМАЦИЯ</v>
          </cell>
        </row>
        <row r="663">
          <cell r="C663" t="str">
            <v>ДОБРЯНСКОЕ СРЕДНЕ ПРОФЕС.УЧ-ЩЕ № 18</v>
          </cell>
        </row>
        <row r="664">
          <cell r="C664" t="str">
            <v>ДОБРЯНСКОЕ СРЕДНЕЕ ПРОФ.УЧИЛИЩЕ №18</v>
          </cell>
        </row>
        <row r="665">
          <cell r="C665" t="str">
            <v>ДОБРЯНСКОЕ ХЛЕБОРАЗГРУЗОЧНОЕ П/П-Е</v>
          </cell>
        </row>
        <row r="666">
          <cell r="C666" t="str">
            <v>ДОБРЯНСКОЕ ХЛЕБОРАЗГРУЗОЧНОЕ П/П-Е</v>
          </cell>
        </row>
        <row r="667">
          <cell r="C667" t="str">
            <v>ДОЛЕВОЕ СОДЕРЖАНИЕ ПРОФИЛАКТОРИЯ</v>
          </cell>
        </row>
        <row r="668">
          <cell r="C668" t="str">
            <v>ДОЛЕВОЕ СОДЕРЖАНИЕ ПРОФИЛАКТОРИЯ</v>
          </cell>
        </row>
        <row r="669">
          <cell r="C669" t="str">
            <v>ДОЛМАТОВ С.В.</v>
          </cell>
        </row>
        <row r="670">
          <cell r="C670" t="str">
            <v>ДОМ ОТДЫХА</v>
          </cell>
        </row>
        <row r="671">
          <cell r="C671" t="str">
            <v>ДОМ ОТДЫХА</v>
          </cell>
        </row>
        <row r="672">
          <cell r="C672" t="str">
            <v>ДОМ ОТДЫХА                за баланс</v>
          </cell>
        </row>
        <row r="673">
          <cell r="C673" t="str">
            <v>ДОМ ОТДЫХА ДЕМИДКОВО</v>
          </cell>
        </row>
        <row r="674">
          <cell r="C674" t="str">
            <v>ДОМ ОТДЫХА ДЕМИДКОВО</v>
          </cell>
        </row>
        <row r="675">
          <cell r="C675" t="str">
            <v>ДОМ ОТДЫХА ДЕМИДКОВО</v>
          </cell>
        </row>
        <row r="676">
          <cell r="C676" t="str">
            <v>ДОМ ТЕХНИКИ</v>
          </cell>
        </row>
        <row r="677">
          <cell r="C677" t="str">
            <v>ДОМ ТЕХНИКИ               за баланс</v>
          </cell>
        </row>
        <row r="678">
          <cell r="C678" t="str">
            <v>ДОМ ТЕХНИКИ И СПОРТА</v>
          </cell>
        </row>
        <row r="679">
          <cell r="C679" t="str">
            <v>ДОРОЖНИКИ</v>
          </cell>
        </row>
        <row r="680">
          <cell r="C680" t="str">
            <v>ДОРОЖНЫЙ КОМИТЕТ</v>
          </cell>
        </row>
        <row r="681">
          <cell r="C681" t="str">
            <v>ДОРОЖНЫЙ КОМИТЕТ</v>
          </cell>
        </row>
        <row r="682">
          <cell r="C682" t="str">
            <v>ДРСУ № 2 ПЕРМАВТОДОР</v>
          </cell>
        </row>
        <row r="683">
          <cell r="C683" t="str">
            <v>ДТКиС БАЙКОВ В.И.</v>
          </cell>
        </row>
        <row r="684">
          <cell r="C684" t="str">
            <v>ДТКиС ГОЛУБЦОВА Л.С.</v>
          </cell>
        </row>
        <row r="685">
          <cell r="C685" t="str">
            <v>ДТКиС ПЕТУНИН В.И.</v>
          </cell>
        </row>
        <row r="686">
          <cell r="C686" t="str">
            <v>ДТКиС РУСАНОВА Г.А.</v>
          </cell>
        </row>
        <row r="687">
          <cell r="C687" t="str">
            <v>ДХО УСОЛЬСКАЯ ДПМК ОАО ПЕРМАГРОПРОМДОРСТРОЙ</v>
          </cell>
        </row>
        <row r="688">
          <cell r="C688" t="str">
            <v>ЕВДОКИМОВ К.Э.</v>
          </cell>
        </row>
        <row r="689">
          <cell r="C689" t="str">
            <v>ЕКАТЕРИНБУРГСКИЙ ЗАВОД СКВАЖИН</v>
          </cell>
        </row>
        <row r="690">
          <cell r="C690" t="str">
            <v>ЕКАТЕРИНБУРГСКИЙ ПЕД.ИНСТИТУТ</v>
          </cell>
        </row>
        <row r="691">
          <cell r="C691" t="str">
            <v>ЕЛСУКОВ Н.А.</v>
          </cell>
        </row>
        <row r="692">
          <cell r="C692" t="str">
            <v>ЕПИШИН Б.Н.</v>
          </cell>
        </row>
        <row r="693">
          <cell r="C693" t="str">
            <v>ЕРМАКОВ Л.А.</v>
          </cell>
        </row>
        <row r="694">
          <cell r="C694" t="str">
            <v>ЕРМАКОВ О.Л.</v>
          </cell>
        </row>
        <row r="695">
          <cell r="C695" t="str">
            <v>ЕСИЛЬСКИЙ МАСЛОКОМБИНАТ</v>
          </cell>
        </row>
        <row r="696">
          <cell r="C696" t="str">
            <v>ЕСИНА М.Я.</v>
          </cell>
        </row>
        <row r="697">
          <cell r="C697" t="str">
            <v>ЖДАНОВ А.А.</v>
          </cell>
        </row>
        <row r="698">
          <cell r="C698" t="str">
            <v>ЖДАНОВА Т.В.</v>
          </cell>
        </row>
        <row r="699">
          <cell r="C699" t="str">
            <v>ЖИЖИН А.М.</v>
          </cell>
        </row>
        <row r="700">
          <cell r="C700" t="str">
            <v>ЖКУ АО АВИСМА</v>
          </cell>
        </row>
        <row r="701">
          <cell r="C701" t="str">
            <v>ЖКУ АО АЗОТ</v>
          </cell>
        </row>
        <row r="702">
          <cell r="C702" t="str">
            <v>ЗА ПОТЕРЮ КОРМИЛЬЦА</v>
          </cell>
        </row>
        <row r="703">
          <cell r="C703" t="str">
            <v>ЗАВОД ИМ.ДЗЕРЖИНСКОГО</v>
          </cell>
        </row>
        <row r="704">
          <cell r="C704" t="str">
            <v>ЗАВОД им.С.М.КИРОВА</v>
          </cell>
        </row>
        <row r="705">
          <cell r="C705" t="str">
            <v>ЗАВОД им.С.М.КИРОВА</v>
          </cell>
        </row>
        <row r="706">
          <cell r="C706" t="str">
            <v>ЗАВОД КИРСКАБЕЛЬ г.КИРС</v>
          </cell>
        </row>
        <row r="707">
          <cell r="C707" t="str">
            <v>ЗАВОД ПРИБОР г.ЧЕЛЯБИНСК</v>
          </cell>
        </row>
        <row r="708">
          <cell r="C708" t="str">
            <v>ЗАВОД РЭТО</v>
          </cell>
        </row>
        <row r="709">
          <cell r="C709" t="str">
            <v>ЗАВОД СИНТЕТИЧЕСКИХ ВОЛОКОН</v>
          </cell>
        </row>
        <row r="710">
          <cell r="C710" t="str">
            <v>ЗАВОД СТАНКОМАШ</v>
          </cell>
        </row>
        <row r="711">
          <cell r="C711" t="str">
            <v>ЗАВОД СТРОЙДОРМАШ</v>
          </cell>
        </row>
        <row r="712">
          <cell r="C712" t="str">
            <v>ЗАВОД ЧЕРТ.ПРИБОРОВ Г.УФА</v>
          </cell>
        </row>
        <row r="713">
          <cell r="C713" t="str">
            <v>ЗАВОД ЭЛ.ОБОРУДОВАНИЯ</v>
          </cell>
        </row>
        <row r="714">
          <cell r="C714" t="str">
            <v>ЗАВОЛЖСКИЙ МОТОРНЫЙ ЗАВОД</v>
          </cell>
        </row>
        <row r="715">
          <cell r="C715" t="str">
            <v>ЗАГОТОВКА КОРМОВ</v>
          </cell>
        </row>
        <row r="716">
          <cell r="C716" t="str">
            <v>ЗАЙЦЕВА Р.Я.</v>
          </cell>
        </row>
        <row r="717">
          <cell r="C717" t="str">
            <v>ЗАО WEST URAL SERVICE</v>
          </cell>
        </row>
        <row r="718">
          <cell r="C718" t="str">
            <v>ЗАО АВТОМАТИКА</v>
          </cell>
        </row>
        <row r="719">
          <cell r="C719" t="str">
            <v>ЗАО АВТОМАТИКА</v>
          </cell>
        </row>
        <row r="720">
          <cell r="C720" t="str">
            <v>ЗАО АКПО</v>
          </cell>
        </row>
        <row r="721">
          <cell r="C721" t="str">
            <v>ЗАО АЛЬБАТРОС</v>
          </cell>
        </row>
        <row r="722">
          <cell r="C722" t="str">
            <v>ЗАО АЛЬТЕРНАТИВА Ч</v>
          </cell>
        </row>
        <row r="723">
          <cell r="C723" t="str">
            <v>ЗАО АЛЬЯНС</v>
          </cell>
        </row>
        <row r="724">
          <cell r="C724" t="str">
            <v>ЗАО АТМ</v>
          </cell>
        </row>
        <row r="725">
          <cell r="C725" t="str">
            <v>ЗАО БИОНТ</v>
          </cell>
        </row>
        <row r="726">
          <cell r="C726" t="str">
            <v>ЗАО БИО-ПРОМ</v>
          </cell>
        </row>
        <row r="727">
          <cell r="C727" t="str">
            <v>ЗАО БИС-ПРОЕКТ</v>
          </cell>
        </row>
        <row r="728">
          <cell r="C728" t="str">
            <v>ЗАО БОГДАНОВИЧСКИЙ ФАРФОРОВЫЙ З-Д</v>
          </cell>
        </row>
        <row r="729">
          <cell r="C729" t="str">
            <v>ЗАО ВЕНТМОНТАЖ</v>
          </cell>
        </row>
        <row r="730">
          <cell r="C730" t="str">
            <v>ЗАО ВИШЕРАНЕФТЕГАЗ</v>
          </cell>
        </row>
        <row r="731">
          <cell r="C731" t="str">
            <v>ЗАО ВИШЕРАНЕФТЕГАЗ</v>
          </cell>
        </row>
        <row r="732">
          <cell r="C732" t="str">
            <v>ЗАО ВНЕШНЕТОРГОВАЯ ФИРМА ПЕРМОЙЛ</v>
          </cell>
        </row>
        <row r="733">
          <cell r="C733" t="str">
            <v>ЗАО ГИГИЕНА</v>
          </cell>
        </row>
        <row r="734">
          <cell r="C734" t="str">
            <v>ЗАО ДИЗЕЛЬТЕХНИК</v>
          </cell>
        </row>
        <row r="735">
          <cell r="C735" t="str">
            <v>ЗАО ДИЗЕЛЬТЕХНИК</v>
          </cell>
        </row>
        <row r="736">
          <cell r="C736" t="str">
            <v>ЗАО ЕВРАЗИЯ</v>
          </cell>
        </row>
        <row r="737">
          <cell r="C737" t="str">
            <v>ЗАО ЗАВОД СВАРОЧНЫХ ЭЛЕКТРОДОВ</v>
          </cell>
        </row>
        <row r="738">
          <cell r="C738" t="str">
            <v>ЗАО ЗЕРСКАЯ РЭБ ФЛОТА</v>
          </cell>
        </row>
        <row r="739">
          <cell r="C739" t="str">
            <v>ЗАО ИЖ ЭЛЕКТРОТЕХНИКА</v>
          </cell>
        </row>
        <row r="740">
          <cell r="C740" t="str">
            <v>ЗАО ИНАКО-ПОЛИМЕР</v>
          </cell>
        </row>
        <row r="741">
          <cell r="C741" t="str">
            <v>ЗАО ИНТЕР-СПОРТ-СЕРВИС</v>
          </cell>
        </row>
        <row r="742">
          <cell r="C742" t="str">
            <v>ЗАО ИНТЕРТРАНС</v>
          </cell>
        </row>
        <row r="743">
          <cell r="C743" t="str">
            <v>ЗАО ИНТЕРФУД</v>
          </cell>
        </row>
        <row r="744">
          <cell r="C744" t="str">
            <v>ЗАО КАМАСТАЛЬ МЕТАЛУРГ.З-Д</v>
          </cell>
        </row>
        <row r="745">
          <cell r="C745" t="str">
            <v>ЗАО КАМКАБЕЛЬСНАБСБЫТ</v>
          </cell>
        </row>
        <row r="746">
          <cell r="C746" t="str">
            <v>ЗАО КАМКАБЕЛЬСНАБСБЫТ</v>
          </cell>
        </row>
        <row r="747">
          <cell r="C747" t="str">
            <v>ЗАО КОМПАНИЯ ИНТЕРМЕДСЕРВИС</v>
          </cell>
        </row>
        <row r="748">
          <cell r="C748" t="str">
            <v>ЗАО КОНЦЕРН МЕТРАН</v>
          </cell>
        </row>
        <row r="749">
          <cell r="C749" t="str">
            <v>ЗАО КУРОРТ УСТЬ-КАЧКА</v>
          </cell>
        </row>
        <row r="750">
          <cell r="C750" t="str">
            <v>ЗАО ЛИТАН-М</v>
          </cell>
        </row>
        <row r="751">
          <cell r="C751" t="str">
            <v>ЗАО ЛУКОЙЛ-БУРЕНИЕ ПЕРМЬ КУНГУРСКИЙ Ф-Л</v>
          </cell>
        </row>
        <row r="752">
          <cell r="C752" t="str">
            <v>ЗАО ЛУКОЙЛ-БУРЕНИЕ-ПЕРМЬ</v>
          </cell>
        </row>
        <row r="753">
          <cell r="C753" t="str">
            <v>ЗАО ЛУКОЙЛ-БУРЕНИЕ-ПЕРМЬ</v>
          </cell>
        </row>
        <row r="754">
          <cell r="C754" t="str">
            <v>ЗАО ЛУКОЙЛ-БУРЕНИЕ-ПЕРМЬ</v>
          </cell>
        </row>
        <row r="755">
          <cell r="C755" t="str">
            <v>ЗАО ЛУКОЙЛ-БУРЕНИЕ-ПЕРМЬ БЕРЕЗН.Ф-Л</v>
          </cell>
        </row>
        <row r="756">
          <cell r="C756" t="str">
            <v>ЗАО ЛУКОЙЛ-БУРЕНИЕ-ПЕРМЬ БЕРЕЗН.Ф-Л</v>
          </cell>
        </row>
        <row r="757">
          <cell r="C757" t="str">
            <v>ЗАО ЛУКОЙЛ-БУРЕНИЕ-ПЕРМЬ ПОЛ.ЭКСПЕДИЦИЯ</v>
          </cell>
        </row>
        <row r="758">
          <cell r="C758" t="str">
            <v>ЗАО ЛУКОЙЛ-БУРЕНИЕ-ПЕРМЬ ПОЛ.ЭКСПЕДИЦИЯ</v>
          </cell>
        </row>
        <row r="759">
          <cell r="C759" t="str">
            <v>ЗАО МЕДИЦИНСКАЯ ФИРМА АДОНИС-ПЛЮС</v>
          </cell>
        </row>
        <row r="760">
          <cell r="C760" t="str">
            <v>ЗАО МЕДСНАБСБЫТ</v>
          </cell>
        </row>
        <row r="761">
          <cell r="C761" t="str">
            <v>ЗАО МЕДТЕХТОРГ</v>
          </cell>
        </row>
        <row r="762">
          <cell r="C762" t="str">
            <v>ЗАО МЕХАНИЧЕСКИЙ ЗАВОД</v>
          </cell>
        </row>
        <row r="763">
          <cell r="C763" t="str">
            <v>ЗАО МФ-ГАКС</v>
          </cell>
        </row>
        <row r="764">
          <cell r="C764" t="str">
            <v>ЗАО НОВОМЕТ-ПЕРМЬ</v>
          </cell>
        </row>
        <row r="765">
          <cell r="C765" t="str">
            <v>ЗАО НОВЫЕ ТЕХНОЛОГИИ</v>
          </cell>
        </row>
        <row r="766">
          <cell r="C766" t="str">
            <v>ЗАО НПП САЛЮТ М</v>
          </cell>
        </row>
        <row r="767">
          <cell r="C767" t="str">
            <v>ЗАО НПФ ТОПКОМ</v>
          </cell>
        </row>
        <row r="768">
          <cell r="C768" t="str">
            <v>ЗАО ОРГТЕХСЕРВИС</v>
          </cell>
        </row>
        <row r="769">
          <cell r="C769" t="str">
            <v>ЗАО ПЕРМАВТОЗАПЧАСТЬ</v>
          </cell>
        </row>
        <row r="770">
          <cell r="C770" t="str">
            <v>ЗАО ПЕРМАВТОУЧКОМБИНАТ</v>
          </cell>
        </row>
        <row r="771">
          <cell r="C771" t="str">
            <v>ЗАО ПЕРМГЛАВНЕФТЕСНАБ</v>
          </cell>
        </row>
        <row r="772">
          <cell r="C772" t="str">
            <v>ЗАО ПЕРМГЛАВНЕФТЕСНАБ</v>
          </cell>
        </row>
        <row r="773">
          <cell r="C773" t="str">
            <v>ЗАО ПЕРМНЕФТЕГАЗЭЛЕКТРОМОНТАЖ</v>
          </cell>
        </row>
        <row r="774">
          <cell r="C774" t="str">
            <v>ЗАО ПЕРМНЕФТЕГАЗЭЛЕКТРОМОНТАЖ</v>
          </cell>
        </row>
        <row r="775">
          <cell r="C775" t="str">
            <v>ЗАО ПЕРМПРОМКОМПЛЕКТ</v>
          </cell>
        </row>
        <row r="776">
          <cell r="C776" t="str">
            <v>ЗАО ПЕРМСКАЯ ФИНАНСОВО-ПРОИЗВ.ГРУППА</v>
          </cell>
        </row>
        <row r="777">
          <cell r="C777" t="str">
            <v>ЗАО ПЕРМСКАЯ ФИНАНСОВО-ПРОИЗВ.ГРУППА</v>
          </cell>
        </row>
        <row r="778">
          <cell r="C778" t="str">
            <v>ЗАО ПЕРМСКАЯ ФИНАНСОВО-ПРОИЗВ.ГРУППА</v>
          </cell>
        </row>
        <row r="779">
          <cell r="C779" t="str">
            <v>ЗАО ПЕРМСКАЯ ФОНДОВАЯ КОМПАНИЯ</v>
          </cell>
        </row>
        <row r="780">
          <cell r="C780" t="str">
            <v>ЗАО ПЕРМСКАЯ ФОНДОВАЯ КОМПАНИЯ</v>
          </cell>
        </row>
        <row r="781">
          <cell r="C781" t="str">
            <v>ЗАО ПЕРМСКИЙ Т.Д.ЛУКойл</v>
          </cell>
        </row>
        <row r="782">
          <cell r="C782" t="str">
            <v>ЗАО ПЕРМСКИЙ Т.Д.ЛУКойл</v>
          </cell>
        </row>
        <row r="783">
          <cell r="C783" t="str">
            <v>ЗАО ПЕРМСПЕЦНЕФТЕМАШ</v>
          </cell>
        </row>
        <row r="784">
          <cell r="C784" t="str">
            <v>ЗАО ПЕРМТРАКСЕРВИС</v>
          </cell>
        </row>
        <row r="785">
          <cell r="C785" t="str">
            <v>ЗАО ПИИ ГИДРОВОДСТРОЙ</v>
          </cell>
        </row>
        <row r="786">
          <cell r="C786" t="str">
            <v>ЗАО ПКФ РОБИ</v>
          </cell>
        </row>
        <row r="787">
          <cell r="C787" t="str">
            <v>ЗАО ПО ПЕРМЗЕРНОПРОДУКТ</v>
          </cell>
        </row>
        <row r="788">
          <cell r="C788" t="str">
            <v>ЗАО ПО ПЕРМЗЕРНОПРОДУКТ</v>
          </cell>
        </row>
        <row r="789">
          <cell r="C789" t="str">
            <v>ЗАО ПОЖТЕХНИКА ТМ</v>
          </cell>
        </row>
        <row r="790">
          <cell r="C790" t="str">
            <v>ЗАО ПРОИЗВОДСТВЕННО-КОММЕРЧЕС.ФИРМА</v>
          </cell>
        </row>
        <row r="791">
          <cell r="C791" t="str">
            <v>ЗАО ПТО ТЕХНОКОМПЛЕКТСЕРВИС</v>
          </cell>
        </row>
        <row r="792">
          <cell r="C792" t="str">
            <v>ЗАО ПТЦ КОМФЕК</v>
          </cell>
        </row>
        <row r="793">
          <cell r="C793" t="str">
            <v>ЗАО РЕДАКЦИЯ ГАЗЕТЫ ЗВЕЗДА</v>
          </cell>
        </row>
        <row r="794">
          <cell r="C794" t="str">
            <v>ЗАО РЕКОРД-М</v>
          </cell>
        </row>
        <row r="795">
          <cell r="C795" t="str">
            <v>ЗАО РЕКОРД-М</v>
          </cell>
        </row>
        <row r="796">
          <cell r="C796" t="str">
            <v>ЗАО РИКО</v>
          </cell>
        </row>
        <row r="797">
          <cell r="C797" t="str">
            <v>ЗАО РТК</v>
          </cell>
        </row>
        <row r="798">
          <cell r="C798" t="str">
            <v>ЗАО РТК</v>
          </cell>
        </row>
        <row r="799">
          <cell r="C799" t="str">
            <v>ЗАО СП АВТОМОБИЛЬНЫЙ ЦЕНТР</v>
          </cell>
        </row>
        <row r="800">
          <cell r="C800" t="str">
            <v>ЗАО СПЕЦАВТОМАТИКА</v>
          </cell>
        </row>
        <row r="801">
          <cell r="C801" t="str">
            <v>ЗАО СПЕЦИНСТРУМЕНТ</v>
          </cell>
        </row>
        <row r="802">
          <cell r="C802" t="str">
            <v>ЗАО СТАТУС-М</v>
          </cell>
        </row>
        <row r="803">
          <cell r="C803" t="str">
            <v>ЗАО СТМ-ИНАКО</v>
          </cell>
        </row>
        <row r="804">
          <cell r="C804" t="str">
            <v>ЗАО СТРАХОВАЯ ФИРМА АДОНИС</v>
          </cell>
        </row>
        <row r="805">
          <cell r="C805" t="str">
            <v>ЗАО СТРАХОВАЯ ФИРМА АДОНИС</v>
          </cell>
        </row>
        <row r="806">
          <cell r="C806" t="str">
            <v>ЗАО СТРОГАНОВСКИЕ ЗАВОДЫ</v>
          </cell>
        </row>
        <row r="807">
          <cell r="C807" t="str">
            <v>ЗАО СТРОГАНОВСКИЕ ЗАВОДЫ</v>
          </cell>
        </row>
        <row r="808">
          <cell r="C808" t="str">
            <v>ЗАО СУ-913 АООТ ПЕРМДОРСТРОЙ</v>
          </cell>
        </row>
        <row r="809">
          <cell r="C809" t="str">
            <v>ЗАО СУ-913 АООТ ПЕРМДОРСТРОЙ</v>
          </cell>
        </row>
        <row r="810">
          <cell r="C810" t="str">
            <v>ЗАО СУ-930</v>
          </cell>
        </row>
        <row r="811">
          <cell r="C811" t="str">
            <v>ЗАО ТД ИНАКО</v>
          </cell>
        </row>
        <row r="812">
          <cell r="C812" t="str">
            <v>ЗАО ТД ПРОМЕТЕЙ</v>
          </cell>
        </row>
        <row r="813">
          <cell r="C813" t="str">
            <v>ЗАО ТЕХНОПУЛЬС</v>
          </cell>
        </row>
        <row r="814">
          <cell r="C814" t="str">
            <v>ЗАО ТОРГОВЫЙ ДОМ ПКНМ</v>
          </cell>
        </row>
        <row r="815">
          <cell r="C815" t="str">
            <v>ЗАО ТПК НЕФТЬСИНТЕЗМАРКЕТ</v>
          </cell>
        </row>
        <row r="816">
          <cell r="C816" t="str">
            <v>ЗАО ТПК НЕФТЬСИНТЕЗМАРКЕТ</v>
          </cell>
        </row>
        <row r="817">
          <cell r="C817" t="str">
            <v>ЗАО ТРАК КОМПЛЕКТ ЦЕНТР</v>
          </cell>
        </row>
        <row r="818">
          <cell r="C818" t="str">
            <v>ЗАО ТЭКО</v>
          </cell>
        </row>
        <row r="819">
          <cell r="C819" t="str">
            <v>ЗАО ТЮП</v>
          </cell>
        </row>
        <row r="820">
          <cell r="C820" t="str">
            <v>ЗАО УРАЛ-ДИЗАЙН</v>
          </cell>
        </row>
        <row r="821">
          <cell r="C821" t="str">
            <v>ЗАО УРАЛ-ДИЗАЙН</v>
          </cell>
        </row>
        <row r="822">
          <cell r="C822" t="str">
            <v>ЗАО УРАЛНЕФТЕСЕРВИС</v>
          </cell>
        </row>
        <row r="823">
          <cell r="C823" t="str">
            <v>ЗАО УРАЛЭЛЕКТРОСВАРКА</v>
          </cell>
        </row>
        <row r="824">
          <cell r="C824" t="str">
            <v>ЗАО ФИРМА РПЦ-35</v>
          </cell>
        </row>
        <row r="825">
          <cell r="C825" t="str">
            <v>ЗАО ФОРУМ</v>
          </cell>
        </row>
        <row r="826">
          <cell r="C826" t="str">
            <v>ЗАО ХИМРЕАКТИВЫ</v>
          </cell>
        </row>
        <row r="827">
          <cell r="C827" t="str">
            <v>ЗАО ХИМТРАНС</v>
          </cell>
        </row>
        <row r="828">
          <cell r="C828" t="str">
            <v>ЗАО ХОЛДИНГОВАЯ КОМПАНИЯ ЭМЗ-ДИНАТРОНИК</v>
          </cell>
        </row>
        <row r="829">
          <cell r="C829" t="str">
            <v>ЗАО ЦЕНТУРИОН-96 РЕГ.НАУЧ.ТЕХН.ЦЕНТР БЕЗОПАСНОСТИ</v>
          </cell>
        </row>
        <row r="830">
          <cell r="C830" t="str">
            <v>ЗАО ЧЕПЕЦКОЕ НГДУ</v>
          </cell>
        </row>
        <row r="831">
          <cell r="C831" t="str">
            <v>ЗАО ЭКОЙЛ-ИНФОРМ</v>
          </cell>
        </row>
        <row r="832">
          <cell r="C832" t="str">
            <v>ЗАО ЭЛЕКТРОИЗОЛИТ г.ХОТЬКОВО</v>
          </cell>
        </row>
        <row r="833">
          <cell r="C833" t="str">
            <v>ЗАО ЭЛЕКТРОТЕХНИЧЕСКАЯ КОМПАНИЯ ПЭРКО</v>
          </cell>
        </row>
        <row r="834">
          <cell r="C834" t="str">
            <v>ЗАО ЭНЕРГОКАБЕЛЬ г.САМАРА</v>
          </cell>
        </row>
        <row r="835">
          <cell r="C835" t="str">
            <v>ЗАО ЭНЕРГОКОМПЛЕКТ-ПЕРМЬ</v>
          </cell>
        </row>
        <row r="836">
          <cell r="C836" t="str">
            <v>ЗАО ЭНЕРГОКОМПЛЕКТ-ПЕРМЬ</v>
          </cell>
        </row>
        <row r="837">
          <cell r="C837" t="str">
            <v>ЗАО ЭНЕРГОНЕФТЕРЕСУРС</v>
          </cell>
        </row>
        <row r="838">
          <cell r="C838" t="str">
            <v>ЗАО ЮНИТ-КОПИР</v>
          </cell>
        </row>
        <row r="839">
          <cell r="C839" t="str">
            <v>ЗАП.УПР.ГХ ЭЛЕКТРОАППАРАТ.</v>
          </cell>
        </row>
        <row r="840">
          <cell r="C840" t="str">
            <v>ЗАПАДНО-УРАЛ.ОТДЕЛ.НАУК(ЗУМО МАНЭБ)</v>
          </cell>
        </row>
        <row r="841">
          <cell r="C841" t="str">
            <v>ЗАПАДНО-УРАЛЬСКИЙ ВЕКСЕЛЬНЫЙ ЦЕНТР</v>
          </cell>
        </row>
        <row r="842">
          <cell r="C842" t="str">
            <v>ЗАПАДНО-УРАЛЬСКИЙ ГАЗОТЕХНИЧ.ЦЕНТР</v>
          </cell>
        </row>
        <row r="843">
          <cell r="C843" t="str">
            <v>ЗАПАДНО-УРАЛЬСКИЙ ИНС-Т ЭКОНОМИКИ И ПРАВА</v>
          </cell>
        </row>
        <row r="844">
          <cell r="C844" t="str">
            <v>ЗАПАДНО-УРАЛЬСКИЙ ОКРУГ</v>
          </cell>
        </row>
        <row r="845">
          <cell r="C845" t="str">
            <v>ЗАПАДНО-УРАЛЬСКИЙ ОКРУГ ГОСГОРТЕХНА</v>
          </cell>
        </row>
        <row r="846">
          <cell r="C846" t="str">
            <v>ЗАПАДНО-УРАЛЬСКИЙ ЦЕНТР СЕРТИФИКАЦИ</v>
          </cell>
        </row>
        <row r="847">
          <cell r="C847" t="str">
            <v>ЗАП-УРАЛ.ИН-Т ПОВЫШЕНИЯ КВАЛИФИКАЦИИ</v>
          </cell>
        </row>
        <row r="848">
          <cell r="C848" t="str">
            <v>ЗАП-УРАЛЬСК.АТТЕСТАЦИОН.ЦЕНТР НЕРКОНТ ПЛЮС</v>
          </cell>
        </row>
        <row r="849">
          <cell r="C849" t="str">
            <v>ЗАХАРОВ С.С               за баланс</v>
          </cell>
        </row>
        <row r="850">
          <cell r="C850" t="str">
            <v>ЗАХАРОВ С.С.</v>
          </cell>
        </row>
        <row r="851">
          <cell r="C851" t="str">
            <v>ЗАХАРОВ С.С.</v>
          </cell>
        </row>
        <row r="852">
          <cell r="C852" t="str">
            <v>ЗАЦЕПИН В.В.</v>
          </cell>
        </row>
        <row r="853">
          <cell r="C853" t="str">
            <v>ЗАЦЕПИН В.В.</v>
          </cell>
        </row>
        <row r="854">
          <cell r="C854" t="str">
            <v>ЗВЕРЕВ А.В.</v>
          </cell>
        </row>
        <row r="855">
          <cell r="C855" t="str">
            <v>ЗДРАВПУНКТ</v>
          </cell>
        </row>
        <row r="856">
          <cell r="C856" t="str">
            <v>ЗДРАВПУНКТ ПИСКУН Н.П.</v>
          </cell>
        </row>
        <row r="857">
          <cell r="C857" t="str">
            <v>ЗЕМЕЛЬНЫЙ КОМИТЕТ СОЛИКАМСКОГО Р-НА</v>
          </cell>
        </row>
        <row r="858">
          <cell r="C858" t="str">
            <v>ЗЛАТОУСТОВСКИЙ ОП-АБ. ЗАВОД</v>
          </cell>
        </row>
        <row r="859">
          <cell r="C859" t="str">
            <v>ЗОТ УРАЛЬСКИЙ АВТОМАТОР З-Д</v>
          </cell>
        </row>
        <row r="860">
          <cell r="C860" t="str">
            <v>ЗУЕВ А.Е.</v>
          </cell>
        </row>
        <row r="861">
          <cell r="C861" t="str">
            <v>ЗУЕВ В.А.</v>
          </cell>
        </row>
        <row r="862">
          <cell r="C862" t="str">
            <v>ЗУЕВ В.А.</v>
          </cell>
        </row>
        <row r="863">
          <cell r="C863" t="str">
            <v>ЗУЕВА Г.В.</v>
          </cell>
        </row>
        <row r="864">
          <cell r="C864" t="str">
            <v>ЗУЕВА Л.В.</v>
          </cell>
        </row>
        <row r="865">
          <cell r="C865" t="str">
            <v>ЗУФАО СОЮЗТЕПЛОСТРОЙ</v>
          </cell>
        </row>
        <row r="866">
          <cell r="C866" t="str">
            <v>ЗЫРЯНОВ В.В.</v>
          </cell>
        </row>
        <row r="867">
          <cell r="C867" t="str">
            <v>ИЗДАТЕЛЬСТВО АСТЭР</v>
          </cell>
        </row>
        <row r="868">
          <cell r="C868" t="str">
            <v>ИЗДАТЕЛЬСТВО ИНФРА-М</v>
          </cell>
        </row>
        <row r="869">
          <cell r="C869" t="str">
            <v>ИЗЫСКАТЕЛЬСКАЯ ЭКСПЕДИЦИЯ 24</v>
          </cell>
        </row>
        <row r="870">
          <cell r="C870" t="str">
            <v>ИИЦ ПОПУРРИ</v>
          </cell>
        </row>
        <row r="871">
          <cell r="C871" t="str">
            <v>ИЛЬИНСКИЙ МЕЖХОЗ.ЛЕСХОЗ</v>
          </cell>
        </row>
        <row r="872">
          <cell r="C872" t="str">
            <v>ИЛЬИНСКОЕ РАЙФО</v>
          </cell>
        </row>
        <row r="873">
          <cell r="C873" t="str">
            <v>ИМП "УНИВЕРСАЛ-90"</v>
          </cell>
        </row>
        <row r="874">
          <cell r="C874" t="str">
            <v>ИМП УНИВЕРСАЛ-90</v>
          </cell>
        </row>
        <row r="875">
          <cell r="C875" t="str">
            <v>ИНЖЕНЕРНО-ФИНАН.ФИРМА ТЕХАВТОКРЕДИТ</v>
          </cell>
        </row>
        <row r="876">
          <cell r="C876" t="str">
            <v>ИНИЦ ИНФОРМ-ПРИБОР</v>
          </cell>
        </row>
        <row r="877">
          <cell r="C877" t="str">
            <v>ИНСПЕКЦИЯ ГОССТРАХА</v>
          </cell>
        </row>
        <row r="878">
          <cell r="C878" t="str">
            <v>ИНСПЕКЦИЯ ГОССТРАХА</v>
          </cell>
        </row>
        <row r="879">
          <cell r="C879" t="str">
            <v>ИНСТИТУТ ВНИИОС УГОЛЬ</v>
          </cell>
        </row>
        <row r="880">
          <cell r="C880" t="str">
            <v>ИНСТИТУТ ГЕОФИЗИКИ УРОАН</v>
          </cell>
        </row>
        <row r="881">
          <cell r="C881" t="str">
            <v>ИНСТИТУТ МЕХАНИКИ СПЛОШНЫХ СРЕД</v>
          </cell>
        </row>
        <row r="882">
          <cell r="C882" t="str">
            <v>ИНСТИТУТ ПЕРМГИПРОВОДХОЗ</v>
          </cell>
        </row>
        <row r="883">
          <cell r="C883" t="str">
            <v>ИНСТИТУТ ПЕЧОРНИПИНЕФТЬ</v>
          </cell>
        </row>
        <row r="884">
          <cell r="C884" t="str">
            <v>ИНСТИТУТ ПОВЫШ-Я КВАЛ-ЦИИ И ПЕРЕП-КИ КАДРОВ СТР.КО</v>
          </cell>
        </row>
        <row r="885">
          <cell r="C885" t="str">
            <v>ИНСТИТУТ ПОДГОТ-КИ И ПОВЫШ-Я КВАЛИФ-ЦИИ КАДРОВ</v>
          </cell>
        </row>
        <row r="886">
          <cell r="C886" t="str">
            <v>ИНСТИТУТ ПРИКЛАДНОЙ ХИМИИ</v>
          </cell>
        </row>
        <row r="887">
          <cell r="C887" t="str">
            <v>ИНСТИТУТ ТРУДА МИНТРУДА РОССИИ</v>
          </cell>
        </row>
        <row r="888">
          <cell r="C888" t="str">
            <v>ИНСТИТУТ УКРГИПРОПИМНЕФТЬ</v>
          </cell>
        </row>
        <row r="889">
          <cell r="C889" t="str">
            <v>ИНСТИТУТ ФИЗИКИ МЕТАЛЛОВ УРО РАН</v>
          </cell>
        </row>
        <row r="890">
          <cell r="C890" t="str">
            <v>ИНСТИТУТ ЭКОЛОГИИ И ГЕНЕТИКИ</v>
          </cell>
        </row>
        <row r="891">
          <cell r="C891" t="str">
            <v>ИНФОРМАЦИОННОЕ НАУЧНО-ПРОИЗВОДСТВЕННОЕ АГЕНСТВО</v>
          </cell>
        </row>
        <row r="892">
          <cell r="C892" t="str">
            <v>ИНФОРМАЦ-РЕКЛАМНАЯ КОМПАНИЯ ВЕТТА</v>
          </cell>
        </row>
        <row r="893">
          <cell r="C893" t="str">
            <v>ИНФОРМ-ПРИБОР</v>
          </cell>
        </row>
        <row r="894">
          <cell r="C894" t="str">
            <v>ИНФОРМЭЛЕКТРО</v>
          </cell>
        </row>
        <row r="895">
          <cell r="C895" t="str">
            <v>ИПП ЭНЕРГОСЕРВИС</v>
          </cell>
        </row>
        <row r="896">
          <cell r="C896" t="str">
            <v>ИПТ ОРГНЕФТЕХИМЗАВОДЫ</v>
          </cell>
        </row>
        <row r="897">
          <cell r="C897" t="str">
            <v>ИСПОЛНИТЕЛЬНЫЕ</v>
          </cell>
        </row>
        <row r="898">
          <cell r="C898" t="str">
            <v>ИСПОЛНИТЕЛЬНЫЕ ЛИСТЫ  ШТРАФЫ</v>
          </cell>
        </row>
        <row r="899">
          <cell r="C899" t="str">
            <v>ИФТ ОРГНЕФТЕХИМЗАВОДЫ</v>
          </cell>
        </row>
        <row r="900">
          <cell r="C900" t="str">
            <v>ИЧП ААВ И К</v>
          </cell>
        </row>
        <row r="901">
          <cell r="C901" t="str">
            <v>ИЧП АЛБУС</v>
          </cell>
        </row>
        <row r="902">
          <cell r="C902" t="str">
            <v>ИЧП БАЙКАЛ</v>
          </cell>
        </row>
        <row r="903">
          <cell r="C903" t="str">
            <v>ИЧП ГРАНИТ</v>
          </cell>
        </row>
        <row r="904">
          <cell r="C904" t="str">
            <v>ИЧП ГРАНИТ</v>
          </cell>
        </row>
        <row r="905">
          <cell r="C905" t="str">
            <v>ИЧП ЕВА</v>
          </cell>
        </row>
        <row r="906">
          <cell r="C906" t="str">
            <v>ИЧП ЕВА</v>
          </cell>
        </row>
        <row r="907">
          <cell r="C907" t="str">
            <v>ИЧП ЕВА</v>
          </cell>
        </row>
        <row r="908">
          <cell r="C908" t="str">
            <v>ИЧП ЕНИСЕЙ</v>
          </cell>
        </row>
        <row r="909">
          <cell r="C909" t="str">
            <v>ИЧП ЖиК</v>
          </cell>
        </row>
        <row r="910">
          <cell r="C910" t="str">
            <v>ИЧП ЗЕНИТ</v>
          </cell>
        </row>
        <row r="911">
          <cell r="C911" t="str">
            <v>ИЧП ИГУМ</v>
          </cell>
        </row>
        <row r="912">
          <cell r="C912" t="str">
            <v>ИЧП ИГУМ</v>
          </cell>
        </row>
        <row r="913">
          <cell r="C913" t="str">
            <v>ИЧП КОМБИЗ-2</v>
          </cell>
        </row>
        <row r="914">
          <cell r="C914" t="str">
            <v>ИЧП ЛЕМИК</v>
          </cell>
        </row>
        <row r="915">
          <cell r="C915" t="str">
            <v>ИЧП ЛИА</v>
          </cell>
        </row>
        <row r="916">
          <cell r="C916" t="str">
            <v>ИЧП ЛЮДМИЛА</v>
          </cell>
        </row>
        <row r="917">
          <cell r="C917" t="str">
            <v>ИЧП МАКО</v>
          </cell>
        </row>
        <row r="918">
          <cell r="C918" t="str">
            <v>ИЧП МАКС</v>
          </cell>
        </row>
        <row r="919">
          <cell r="C919" t="str">
            <v>ИЧП МАРКОС</v>
          </cell>
        </row>
        <row r="920">
          <cell r="C920" t="str">
            <v>ИЧП МАРКОС</v>
          </cell>
        </row>
        <row r="921">
          <cell r="C921" t="str">
            <v>ИЧП ОВСЯННИКОВ</v>
          </cell>
        </row>
        <row r="922">
          <cell r="C922" t="str">
            <v>ИЧП ПАВЛОВ</v>
          </cell>
        </row>
        <row r="923">
          <cell r="C923" t="str">
            <v>ИЧП ПЕРМСТРОЙИНВЕСТ</v>
          </cell>
        </row>
        <row r="924">
          <cell r="C924" t="str">
            <v>ИЧП ПОЛИС</v>
          </cell>
        </row>
        <row r="925">
          <cell r="C925" t="str">
            <v>ИЧП ПРОИМПЕКС</v>
          </cell>
        </row>
        <row r="926">
          <cell r="C926" t="str">
            <v>ИЧП РЫЧИН И К</v>
          </cell>
        </row>
        <row r="927">
          <cell r="C927" t="str">
            <v>ИЧП САКО</v>
          </cell>
        </row>
        <row r="928">
          <cell r="C928" t="str">
            <v>ИЧП САКО</v>
          </cell>
        </row>
        <row r="929">
          <cell r="C929" t="str">
            <v>ИЧП САПФИР</v>
          </cell>
        </row>
        <row r="930">
          <cell r="C930" t="str">
            <v>ИЧП САПФИР</v>
          </cell>
        </row>
        <row r="931">
          <cell r="C931" t="str">
            <v>ИЧП СИСТЕМОТЕХНИК</v>
          </cell>
        </row>
        <row r="932">
          <cell r="C932" t="str">
            <v>ИЧП СИСТЕМОТЕХНИК</v>
          </cell>
        </row>
        <row r="933">
          <cell r="C933" t="str">
            <v>ИЧП ТРЕК</v>
          </cell>
        </row>
        <row r="934">
          <cell r="C934" t="str">
            <v>ИЧП ТРЕК</v>
          </cell>
        </row>
        <row r="935">
          <cell r="C935" t="str">
            <v>ИЧФ АЛЕК-СЕРВИС</v>
          </cell>
        </row>
        <row r="936">
          <cell r="C936" t="str">
            <v>ИЧФ АЛЕК-СЕРВИС</v>
          </cell>
        </row>
        <row r="937">
          <cell r="C937" t="str">
            <v>ИШИМБАЙСКИЙ ЗАВОД НЕФТ.ОБОРУДОВАНИЯ</v>
          </cell>
        </row>
        <row r="938">
          <cell r="C938" t="str">
            <v>ИШИМБАЙСКИЙ ЗАВОД НЕФТ.ОБОРУДОВАНИЯ</v>
          </cell>
        </row>
        <row r="939">
          <cell r="C939" t="str">
            <v>ИЭГМ</v>
          </cell>
        </row>
        <row r="940">
          <cell r="C940" t="str">
            <v>КАЗАХСКИЙ ИНСТИТУТ</v>
          </cell>
        </row>
        <row r="941">
          <cell r="C941" t="str">
            <v>КАЛИНИН А.Ф.</v>
          </cell>
        </row>
        <row r="942">
          <cell r="C942" t="str">
            <v>КАЛИНИН И.В.</v>
          </cell>
        </row>
        <row r="943">
          <cell r="C943" t="str">
            <v>КАМЕНЕВ В.В.</v>
          </cell>
        </row>
        <row r="944">
          <cell r="C944" t="str">
            <v>КАМЕНЕВ В.В.</v>
          </cell>
        </row>
        <row r="945">
          <cell r="C945" t="str">
            <v>КАМНИИКИГС</v>
          </cell>
        </row>
        <row r="946">
          <cell r="C946" t="str">
            <v>КАМНИИКИГС</v>
          </cell>
        </row>
        <row r="947">
          <cell r="C947" t="str">
            <v>КАМСКАЯ РЕЧНАЯ ИНСПЕКЦИЯ</v>
          </cell>
        </row>
        <row r="948">
          <cell r="C948" t="str">
            <v>КАНАЕВ А.С.</v>
          </cell>
        </row>
        <row r="949">
          <cell r="C949" t="str">
            <v>КАТАЕВА Е.В.</v>
          </cell>
        </row>
        <row r="950">
          <cell r="C950" t="str">
            <v>КАФЕ</v>
          </cell>
        </row>
        <row r="951">
          <cell r="C951" t="str">
            <v>КАШАПОВ Р.Ф.</v>
          </cell>
        </row>
        <row r="952">
          <cell r="C952" t="str">
            <v>КВАШНИН СЕРГЕЙ В.</v>
          </cell>
        </row>
        <row r="953">
          <cell r="C953" t="str">
            <v>КВФ РАЗВИТИЕ</v>
          </cell>
        </row>
        <row r="954">
          <cell r="C954" t="str">
            <v>КЕТОВ А.И.</v>
          </cell>
        </row>
        <row r="955">
          <cell r="C955" t="str">
            <v>КЕТОВ С.И.</v>
          </cell>
        </row>
        <row r="956">
          <cell r="C956" t="str">
            <v>КЕТОВА В.И.</v>
          </cell>
        </row>
        <row r="957">
          <cell r="C957" t="str">
            <v>КИВЦ</v>
          </cell>
        </row>
        <row r="958">
          <cell r="C958" t="str">
            <v>КИВЦ                      за баланс</v>
          </cell>
        </row>
        <row r="959">
          <cell r="C959" t="str">
            <v>КИВЦ ОПН</v>
          </cell>
        </row>
        <row r="960">
          <cell r="C960" t="str">
            <v>КИЗЕЛОВСКИЙ УЧ-К ЭН/СНАБЖЕНИЯ СВ.ЖД</v>
          </cell>
        </row>
        <row r="961">
          <cell r="C961" t="str">
            <v>КИРОВОЧЕПЕЦКАЯ ПТИЦЕФАБРИКА</v>
          </cell>
        </row>
        <row r="962">
          <cell r="C962" t="str">
            <v>КИРОВСКИЙ СУ ПРОМБУРВОД</v>
          </cell>
        </row>
        <row r="963">
          <cell r="C963" t="str">
            <v>КИРОВСКИЙ ШИННЫЙ ЗАВОД</v>
          </cell>
        </row>
        <row r="964">
          <cell r="C964" t="str">
            <v>КИРОВСКОЕ ОБЪЕДИНЕНИЕ ЗАРЯ</v>
          </cell>
        </row>
        <row r="965">
          <cell r="C965" t="str">
            <v>КИРШИНА А.А.</v>
          </cell>
        </row>
        <row r="966">
          <cell r="C966" t="str">
            <v>КИСЕЛЕВ Е.Ф.</v>
          </cell>
        </row>
        <row r="967">
          <cell r="C967" t="str">
            <v>КИСЕЛЕВ Е.Ф.</v>
          </cell>
        </row>
        <row r="968">
          <cell r="C968" t="str">
            <v>КИСИЛЕВ Е.Ф.</v>
          </cell>
        </row>
        <row r="969">
          <cell r="C969" t="str">
            <v>КЛУБ СПОРТИВНЫХ ЕДИНОБОРСТВ ПОЛАЗ.ОТД.</v>
          </cell>
        </row>
        <row r="970">
          <cell r="C970" t="str">
            <v>КЛУБ СПОРТИВНЫХ ЕДИНОБОРСТВ ПОЛАЗ.ОТД.</v>
          </cell>
        </row>
        <row r="971">
          <cell r="C971" t="str">
            <v>КОВЗИКОВ А.Н.</v>
          </cell>
        </row>
        <row r="972">
          <cell r="C972" t="str">
            <v>КОЗЛОВ АНДР.ВИК.</v>
          </cell>
        </row>
        <row r="973">
          <cell r="C973" t="str">
            <v>КОКОРИН Е.Е.</v>
          </cell>
        </row>
        <row r="974">
          <cell r="C974" t="str">
            <v>КОЛЛЕКТИВНЫЙ САД МАЛАЯ ДИВЬЯ</v>
          </cell>
        </row>
        <row r="975">
          <cell r="C975" t="str">
            <v>КОЛЛЕКТИВНЫЙ САД ОГОНЕК</v>
          </cell>
        </row>
        <row r="976">
          <cell r="C976" t="str">
            <v>КОЛТОВИЧ Г.Е.</v>
          </cell>
        </row>
        <row r="977">
          <cell r="C977" t="str">
            <v>КОЛХОЗ ИМ.ЛЕНИНА С.МИДЯНКА ОРДИН.Р-Н</v>
          </cell>
        </row>
        <row r="978">
          <cell r="C978" t="str">
            <v>КОЛХОЗ ИМ.ЧАПАЕВА</v>
          </cell>
        </row>
        <row r="979">
          <cell r="C979" t="str">
            <v>КОМБИНАТ ГАЗЕНЛАГЕН</v>
          </cell>
        </row>
        <row r="980">
          <cell r="C980" t="str">
            <v>КОМБИНАТ ПРИКЛАДНОГО ИСКУССТВА</v>
          </cell>
        </row>
        <row r="981">
          <cell r="C981" t="str">
            <v>КОМИТЕТ ПО ВОДНОМУ ХОЗ-ВУ ПЕРМСКОЙ ОБЛАСТИ</v>
          </cell>
        </row>
        <row r="982">
          <cell r="C982" t="str">
            <v>КОМИТЕТ ПО ГРАДОСТРОИТЕЛЬСТВУ Г.ДОБРЯНКА</v>
          </cell>
        </row>
        <row r="983">
          <cell r="C983" t="str">
            <v>КОМИТЕТ ПО ДЕЛ.СТР-ВА И ЛИЦЕН.СТР.ДЕЯТ ПЕРМ.ОБ</v>
          </cell>
        </row>
        <row r="984">
          <cell r="C984" t="str">
            <v>КОМИТЕТ ПО ЗЕМЕЛЬНОЙ РЕФОРМЕ</v>
          </cell>
        </row>
        <row r="985">
          <cell r="C985" t="str">
            <v>КОМИТЕТ ПО ЗЕМЕЛЬНЫМ РЕСУРСАМ Г.АЛЕКСАНДРОВСК</v>
          </cell>
        </row>
        <row r="986">
          <cell r="C986" t="str">
            <v>КОМИТЕТ ПО ЗЕМЕЛЬНЫМ РЕСУРСАМ Г.БЕРЕЗНИКИ</v>
          </cell>
        </row>
        <row r="987">
          <cell r="C987" t="str">
            <v>КОМИТЕТ ПО ЗЕМЕЛЬНЫМ РЕСУРСАМ Г.УСОЛЬЕ</v>
          </cell>
        </row>
        <row r="988">
          <cell r="C988" t="str">
            <v>КОМИТЕТ ПО КУЛЬТУРЕ</v>
          </cell>
        </row>
        <row r="989">
          <cell r="C989" t="str">
            <v>КОМИТЕТ ПО ПРИВАТИЗАЦИИ</v>
          </cell>
        </row>
        <row r="990">
          <cell r="C990" t="str">
            <v>КОМИТЕТ ПО УПРАВЛЕНИЮ ИМУЩЕСТВОМ Г.БЕРЕЗНИКИ</v>
          </cell>
        </row>
        <row r="991">
          <cell r="C991" t="str">
            <v>КОМИТЕТ СОЦИАЛЬНОЙ ЗАЩИТЫ НАСЕЛЕНИЯ Г.ДОБРЯНКА</v>
          </cell>
        </row>
        <row r="992">
          <cell r="C992" t="str">
            <v>КОМИТЕТ СОЦИАЛЬНОЙ ЗАЩИТЫ НАСЕЛЕНИЯ Г.ДОБРЯНКА</v>
          </cell>
        </row>
        <row r="993">
          <cell r="C993" t="str">
            <v>КОМЛЕСОСПЛАВ</v>
          </cell>
        </row>
        <row r="994">
          <cell r="C994" t="str">
            <v>КОММЕРЧЕСКИЙ ОТДЕЛ ПЕРМСК.ГОС.МЕДИЦИНСКОЙ АКАДЕМИИ</v>
          </cell>
        </row>
        <row r="995">
          <cell r="C995" t="str">
            <v>КОММЕРЧЕСКИЙ ОТДЕЛ ПЕРМСКОЙ ГОС.МЕД.АКАДЕМИИ</v>
          </cell>
        </row>
        <row r="996">
          <cell r="C996" t="str">
            <v>КОМПАНИЯ ТЕЛЕКС</v>
          </cell>
        </row>
        <row r="997">
          <cell r="C997" t="str">
            <v>КОМ-Т ПО ОГР. РЕФ. КОЛЬСК.</v>
          </cell>
        </row>
        <row r="998">
          <cell r="C998" t="str">
            <v>КОНДАКОВ А.И.</v>
          </cell>
        </row>
        <row r="999">
          <cell r="C999" t="str">
            <v>КОНДРАТЬЕВА Л.И.</v>
          </cell>
        </row>
        <row r="1000">
          <cell r="C1000" t="str">
            <v>КОНДРАТЬЕВА Н.В.</v>
          </cell>
        </row>
        <row r="1001">
          <cell r="C1001" t="str">
            <v>КОНЫШЕВ О.Р.</v>
          </cell>
        </row>
        <row r="1002">
          <cell r="C1002" t="str">
            <v>КООПЕАРТИВ ИСКАТЕЛЬ</v>
          </cell>
        </row>
        <row r="1003">
          <cell r="C1003" t="str">
            <v>КООПЕРАТИВ АМОР</v>
          </cell>
        </row>
        <row r="1004">
          <cell r="C1004" t="str">
            <v>КООПЕРАТИВ АМОР</v>
          </cell>
        </row>
        <row r="1005">
          <cell r="C1005" t="str">
            <v>КООПЕРАТИВ ВОСТОК</v>
          </cell>
        </row>
        <row r="1006">
          <cell r="C1006" t="str">
            <v>КООПЕРАТИВ ВОСТОК</v>
          </cell>
        </row>
        <row r="1007">
          <cell r="C1007" t="str">
            <v>КООПЕРАТИВ ВОСХОД</v>
          </cell>
        </row>
        <row r="1008">
          <cell r="C1008" t="str">
            <v>КООПЕРАТИВ ИНЖЕНЕР</v>
          </cell>
        </row>
        <row r="1009">
          <cell r="C1009" t="str">
            <v>КООПЕРАТИВ ИСКРА</v>
          </cell>
        </row>
        <row r="1010">
          <cell r="C1010" t="str">
            <v>КООПЕРАТИВ КОМПЛЕКС</v>
          </cell>
        </row>
        <row r="1011">
          <cell r="C1011" t="str">
            <v>КООПЕРАТИВ ЛАДА</v>
          </cell>
        </row>
        <row r="1012">
          <cell r="C1012" t="str">
            <v>КООПЕРАТИВ ЛАДА</v>
          </cell>
        </row>
        <row r="1013">
          <cell r="C1013" t="str">
            <v>КООПЕРАТИВ ПРИКОРМ</v>
          </cell>
        </row>
        <row r="1014">
          <cell r="C1014" t="str">
            <v>КООПЕРАТИВ РАДОСТЬ</v>
          </cell>
        </row>
        <row r="1015">
          <cell r="C1015" t="str">
            <v>КООПЕРАТИВ РАДОСТЬ</v>
          </cell>
        </row>
        <row r="1016">
          <cell r="C1016" t="str">
            <v>КООПЕРАТИВ РОДНИЧЕК</v>
          </cell>
        </row>
        <row r="1017">
          <cell r="C1017" t="str">
            <v>КООПЕРАТИВ СЕРВИС</v>
          </cell>
        </row>
        <row r="1018">
          <cell r="C1018" t="str">
            <v>КООПЕРАТИВ СОЗИДАТЕЛЬ</v>
          </cell>
        </row>
        <row r="1019">
          <cell r="C1019" t="str">
            <v>КООПЕРАТИВ СПЕЦИАЛИСТ</v>
          </cell>
        </row>
        <row r="1020">
          <cell r="C1020" t="str">
            <v>КООПЕРАТИВ СТРОИТЕЛЬ</v>
          </cell>
        </row>
        <row r="1021">
          <cell r="C1021" t="str">
            <v>КООПЕРАТИВ ТЕМП МП</v>
          </cell>
        </row>
        <row r="1022">
          <cell r="C1022" t="str">
            <v>КООПЕРАТИВ ТРУЖЕНИК</v>
          </cell>
        </row>
        <row r="1023">
          <cell r="C1023" t="str">
            <v>КООПЕРАТИВ ТРУЖЕНИК</v>
          </cell>
        </row>
        <row r="1024">
          <cell r="C1024" t="str">
            <v>КООПЕРАТИВ ЭНЕРГИЯ</v>
          </cell>
        </row>
        <row r="1025">
          <cell r="C1025" t="str">
            <v>КОПТИЛЬНЫЙ МОДУЛЬ</v>
          </cell>
        </row>
        <row r="1026">
          <cell r="C1026" t="str">
            <v>КОПТИЛЬНЫЙ МОДУЛЬ         за баланс</v>
          </cell>
        </row>
        <row r="1027">
          <cell r="C1027" t="str">
            <v>КОРКОДИНОВА З.А.</v>
          </cell>
        </row>
        <row r="1028">
          <cell r="C1028" t="str">
            <v>КОСТРОМИТИНА Л.П.</v>
          </cell>
        </row>
        <row r="1029">
          <cell r="C1029" t="str">
            <v>КОСЫГИН С.Н.</v>
          </cell>
        </row>
        <row r="1030">
          <cell r="C1030" t="str">
            <v>КОХ Л.А.</v>
          </cell>
        </row>
        <row r="1031">
          <cell r="C1031" t="str">
            <v>КРАСНОВИШЕРСКИЙ ЛЕСХОЗ</v>
          </cell>
        </row>
        <row r="1032">
          <cell r="C1032" t="str">
            <v>КРАСНОВИШЕРСКИЙ РАЙОН.УЗЕЛ СВЯЗИ</v>
          </cell>
        </row>
        <row r="1033">
          <cell r="C1033" t="str">
            <v>КРАСНОВИШЕРСКИЙ РАЙОН.УЗЕЛ СВЯЗИ</v>
          </cell>
        </row>
        <row r="1034">
          <cell r="C1034" t="str">
            <v>КРАСНОВИШЕРСКИЙ РМЗ</v>
          </cell>
        </row>
        <row r="1035">
          <cell r="C1035" t="str">
            <v>КРАСНОВИШЕРСКИЙ РМЗ</v>
          </cell>
        </row>
        <row r="1036">
          <cell r="C1036" t="str">
            <v>КРАСНОВИШЕРСКОЕ АТП</v>
          </cell>
        </row>
        <row r="1037">
          <cell r="C1037" t="str">
            <v>КРАСНОВИШЕРСКОЕ ОТД.ТПП ПЕРМТОРГНЕФТЬ</v>
          </cell>
        </row>
        <row r="1038">
          <cell r="C1038" t="str">
            <v>КРАСНОВИШЕРСКОЕ РАЙОНО</v>
          </cell>
        </row>
        <row r="1039">
          <cell r="C1039" t="str">
            <v>КРАСНОВИШЕРСКОЕ УРБ</v>
          </cell>
        </row>
        <row r="1040">
          <cell r="C1040" t="str">
            <v>КРАСНОВИШЕРСКОЕ ЦГСН</v>
          </cell>
        </row>
        <row r="1041">
          <cell r="C1041" t="str">
            <v>КРАСНОДАРСКИЙ КОМПРЕССОРНЫЙ ЗАВОД</v>
          </cell>
        </row>
        <row r="1042">
          <cell r="C1042" t="str">
            <v>КРАСНОДАРСКИЙ МАШ.ЗАВОД КУБАНЬ</v>
          </cell>
        </row>
        <row r="1043">
          <cell r="C1043" t="str">
            <v>КРАСНОКАМСКАЯ БАЗА ОАО ПЕРМТЕХСНАБНЕФТЬ</v>
          </cell>
        </row>
        <row r="1044">
          <cell r="C1044" t="str">
            <v>КРАСНОКАМСКАЯ БАЗА ОАО ПЕРМТЕХСНАБНЕФТЬ</v>
          </cell>
        </row>
        <row r="1045">
          <cell r="C1045" t="str">
            <v>КРАСНОКАМСКАЯ БУМ.ФАБРИКА ГОЗНАК</v>
          </cell>
        </row>
        <row r="1046">
          <cell r="C1046" t="str">
            <v>КРАСНОКАМСКИЙ АРЗ</v>
          </cell>
        </row>
        <row r="1047">
          <cell r="C1047" t="str">
            <v>КРАСНОКАМСКИЙ ЗАВОД СПЕЦНЕФТЕХИМ</v>
          </cell>
        </row>
        <row r="1048">
          <cell r="C1048" t="str">
            <v>КРАСНОКАМСКИЙ З-Д МЕТАЛЛ.СЕТОК</v>
          </cell>
        </row>
        <row r="1049">
          <cell r="C1049" t="str">
            <v>КРАСНОКАМСКИЙ РАЙ.КОМИТЕТ ПО ОХРАНЕ</v>
          </cell>
        </row>
        <row r="1050">
          <cell r="C1050" t="str">
            <v>КРАСНОКАМСКИЙ УЧАСТОК ДНГ</v>
          </cell>
        </row>
        <row r="1051">
          <cell r="C1051" t="str">
            <v>КРАСНОКАМСКИЙ ЦБК</v>
          </cell>
        </row>
        <row r="1052">
          <cell r="C1052" t="str">
            <v>КРАСНОКАМСКОЕ АВТОРЕМ.ПРЕДПРИЯТИЕ</v>
          </cell>
        </row>
        <row r="1053">
          <cell r="C1053" t="str">
            <v>КРАСНОКАМСКОЕ УДНГ</v>
          </cell>
        </row>
        <row r="1054">
          <cell r="C1054" t="str">
            <v>КРАСНОКАМСКОЕ УРБ</v>
          </cell>
        </row>
        <row r="1055">
          <cell r="C1055" t="str">
            <v>КРАСНОКАМСКОЕ УТТ</v>
          </cell>
        </row>
        <row r="1056">
          <cell r="C1056" t="str">
            <v>КРАСНОСЕЛЬСКИХ А.Ф.</v>
          </cell>
        </row>
        <row r="1057">
          <cell r="C1057" t="str">
            <v>КРЕСТЬЯНСКОЕ ХОЗ-ВО ВОСТОЧНОЕ</v>
          </cell>
        </row>
        <row r="1058">
          <cell r="C1058" t="str">
            <v>КРЕСТЬЯНСКОЕ ХОЗ-ВО ПОЛАЗНА</v>
          </cell>
        </row>
        <row r="1059">
          <cell r="C1059" t="str">
            <v>КРЕСТЬЯНСКОЕ ХОЗ-ВО РОДНИК-2</v>
          </cell>
        </row>
        <row r="1060">
          <cell r="C1060" t="str">
            <v>КРОПАЧЕВ В.М.</v>
          </cell>
        </row>
        <row r="1061">
          <cell r="C1061" t="str">
            <v>КРС</v>
          </cell>
        </row>
        <row r="1062">
          <cell r="C1062" t="str">
            <v>КРУПИН М.Н.</v>
          </cell>
        </row>
        <row r="1063">
          <cell r="C1063" t="str">
            <v>КРУПИН Н.И.</v>
          </cell>
        </row>
        <row r="1064">
          <cell r="C1064" t="str">
            <v>КТОО РЕЧНИК</v>
          </cell>
        </row>
        <row r="1065">
          <cell r="C1065" t="str">
            <v>КУЗНЕЦОВ В.В.</v>
          </cell>
        </row>
        <row r="1066">
          <cell r="C1066" t="str">
            <v>КУЗНЕЦОВ П.А.</v>
          </cell>
        </row>
        <row r="1067">
          <cell r="C1067" t="str">
            <v>КУЗНЕЦОВА С.А.</v>
          </cell>
        </row>
        <row r="1068">
          <cell r="C1068" t="str">
            <v>КУЗНЕЦОВА С.Г.</v>
          </cell>
        </row>
        <row r="1069">
          <cell r="C1069" t="str">
            <v>КУКУШКИН Б.С.</v>
          </cell>
        </row>
        <row r="1070">
          <cell r="C1070" t="str">
            <v>КУНГУРСКАЯ БАЗА ОАО ПЕРМТЕХСНАБНЕФТЬ</v>
          </cell>
        </row>
        <row r="1071">
          <cell r="C1071" t="str">
            <v>КУНГУРСКИЙ МАШ.ЗАВОД</v>
          </cell>
        </row>
        <row r="1072">
          <cell r="C1072" t="str">
            <v>КУНГУРСКИЙ МЯСОКОМБИНАТ</v>
          </cell>
        </row>
        <row r="1073">
          <cell r="C1073" t="str">
            <v>КУНГУРСКИЙ МЯСОКОМБИНАТ</v>
          </cell>
        </row>
        <row r="1074">
          <cell r="C1074" t="str">
            <v>КУНГУРСКОЕ УТТ</v>
          </cell>
        </row>
        <row r="1075">
          <cell r="C1075" t="str">
            <v>КУРСЫ ПОВЫШ.КВАЛИФ.РАБОТН.КУЛЬТУРЫ И ИСКУС.</v>
          </cell>
        </row>
        <row r="1076">
          <cell r="C1076" t="str">
            <v>КУТУЗОВ</v>
          </cell>
        </row>
        <row r="1077">
          <cell r="C1077" t="str">
            <v>ЛАБОР.ЖИДКОЙ ШТАМПОВКИ ОКБ ТЕМП ППИ</v>
          </cell>
        </row>
        <row r="1078">
          <cell r="C1078" t="str">
            <v>ЛАБОР.МОНИТОРИНГА АТМОСФЕРНОГО ВОЗДУХА г.СОЛИКАМСК</v>
          </cell>
        </row>
        <row r="1079">
          <cell r="C1079" t="str">
            <v>ЛАБОРАТОРИЯ ДЕФЕКТОСКОПИИ</v>
          </cell>
        </row>
        <row r="1080">
          <cell r="C1080" t="str">
            <v>ЛАПШИНА Г.М.</v>
          </cell>
        </row>
        <row r="1081">
          <cell r="C1081" t="str">
            <v>ЛЕПЕШКИН В.В.</v>
          </cell>
        </row>
        <row r="1082">
          <cell r="C1082" t="str">
            <v>ЛИВИНСКОЕ АО ПРОМПРИБОР</v>
          </cell>
        </row>
        <row r="1083">
          <cell r="C1083" t="str">
            <v>ЛИЗНЕВ С.И.</v>
          </cell>
        </row>
        <row r="1084">
          <cell r="C1084" t="str">
            <v>ЛИПЕЦКИЙ ТРАКТОРНЫЙ ЗАВОД</v>
          </cell>
        </row>
        <row r="1085">
          <cell r="C1085" t="str">
            <v>ЛОГИНОВ В.В.</v>
          </cell>
        </row>
        <row r="1086">
          <cell r="C1086" t="str">
            <v>ЛУГОВОЙ А.И.</v>
          </cell>
        </row>
        <row r="1087">
          <cell r="C1087" t="str">
            <v>ЛУКОЙЛ ПЕРМНЕФТЕПРОДУКТ</v>
          </cell>
        </row>
        <row r="1088">
          <cell r="C1088" t="str">
            <v>ЛУКойл-Пермь</v>
          </cell>
        </row>
        <row r="1089">
          <cell r="C1089" t="str">
            <v>ЛУНЕВА З.Б.</v>
          </cell>
        </row>
        <row r="1090">
          <cell r="C1090" t="str">
            <v>ЛЫСЬВЕНСКИЙ МЕТАЛЛУРГИЧЕСКИЙ ЗАВОД</v>
          </cell>
        </row>
        <row r="1091">
          <cell r="C1091" t="str">
            <v>ЛЯДОВ А.Н.</v>
          </cell>
        </row>
        <row r="1092">
          <cell r="C1092" t="str">
            <v>ЛЯДОВСКИЙ З-Д СТАНК.МАШИНОСТРОЕНИЯ</v>
          </cell>
        </row>
        <row r="1093">
          <cell r="C1093" t="str">
            <v>ЛЯДОВСКИЙ ЗЭСМ</v>
          </cell>
        </row>
        <row r="1094">
          <cell r="C1094" t="str">
            <v>ЛЯДОВСКИЙ КИРПИЧНЫЙ ЗАВОД</v>
          </cell>
        </row>
        <row r="1095">
          <cell r="C1095" t="str">
            <v>ЛЯДОВСКИЙ КИРПИЧНЫЙ ЗАВОД</v>
          </cell>
        </row>
        <row r="1096">
          <cell r="C1096" t="str">
            <v>МАГАЗИН ВИКТОРИЯ</v>
          </cell>
        </row>
        <row r="1097">
          <cell r="C1097" t="str">
            <v>МАГАЗИН НОВИНА</v>
          </cell>
        </row>
        <row r="1098">
          <cell r="C1098" t="str">
            <v>МАГАЗИН НОВИНА</v>
          </cell>
        </row>
        <row r="1099">
          <cell r="C1099" t="str">
            <v>МАЙКОНСКИЙ МСЗ</v>
          </cell>
        </row>
        <row r="1100">
          <cell r="C1100" t="str">
            <v>МАКАРОВ</v>
          </cell>
        </row>
        <row r="1101">
          <cell r="C1101" t="str">
            <v>МАКАРОВ А.И.</v>
          </cell>
        </row>
        <row r="1102">
          <cell r="C1102" t="str">
            <v>МАКАРОВ В.А.</v>
          </cell>
        </row>
        <row r="1103">
          <cell r="C1103" t="str">
            <v>МАКУРИН Д.Ф.</v>
          </cell>
        </row>
        <row r="1104">
          <cell r="C1104" t="str">
            <v>МАЛОЕ НПО БЛОК</v>
          </cell>
        </row>
        <row r="1105">
          <cell r="C1105" t="str">
            <v>МАРКЕТ МЕД СЕРВИС</v>
          </cell>
        </row>
        <row r="1106">
          <cell r="C1106" t="str">
            <v>МАРЬИН А.В.</v>
          </cell>
        </row>
        <row r="1107">
          <cell r="C1107" t="str">
            <v>МАРЬИН А.В.</v>
          </cell>
        </row>
        <row r="1108">
          <cell r="C1108" t="str">
            <v>МАРЬИН Н.А.</v>
          </cell>
        </row>
        <row r="1109">
          <cell r="C1109" t="str">
            <v>МАТЯШОВ С.В.</v>
          </cell>
        </row>
        <row r="1110">
          <cell r="C1110" t="str">
            <v>МАШЗАВОД ИМ.Ф.Э.ДЗЕРЖИНСКОГО г.ПЕРМ</v>
          </cell>
        </row>
        <row r="1111">
          <cell r="C1111" t="str">
            <v>МБП ГОНТАРЬ А.П.</v>
          </cell>
        </row>
        <row r="1112">
          <cell r="C1112" t="str">
            <v>МБП ЖИЖИНОЙ В.Г.</v>
          </cell>
        </row>
        <row r="1113">
          <cell r="C1113" t="str">
            <v>МБП КОРКОДИНОВОЙ З.А</v>
          </cell>
        </row>
        <row r="1114">
          <cell r="C1114" t="str">
            <v>МБП КУЗНЕЦОВА В.В.</v>
          </cell>
        </row>
        <row r="1115">
          <cell r="C1115" t="str">
            <v>МБП ОВЧИННИКОВА Н.И</v>
          </cell>
        </row>
        <row r="1116">
          <cell r="C1116" t="str">
            <v>МБП САЛАХОВ Р.Х.</v>
          </cell>
        </row>
        <row r="1117">
          <cell r="C1117" t="str">
            <v>МБП ТАШКИНОВ И.П.</v>
          </cell>
        </row>
        <row r="1118">
          <cell r="C1118" t="str">
            <v>МБП ФИЛИМОНОВОЙ О.Ф.</v>
          </cell>
        </row>
        <row r="1119">
          <cell r="C1119" t="str">
            <v>МБП ЧЕРКАСОВ А.Д.</v>
          </cell>
        </row>
        <row r="1120">
          <cell r="C1120" t="str">
            <v>МВП НТЦ ФАУНД</v>
          </cell>
        </row>
        <row r="1121">
          <cell r="C1121" t="str">
            <v>МГГ</v>
          </cell>
        </row>
        <row r="1122">
          <cell r="C1122" t="str">
            <v>МГГ                       за баланс</v>
          </cell>
        </row>
        <row r="1123">
          <cell r="C1123" t="str">
            <v>МГГ ГОРБУНОВ С.Д.</v>
          </cell>
        </row>
        <row r="1124">
          <cell r="C1124" t="str">
            <v>МГГ КОЗЛОВ А.В.</v>
          </cell>
        </row>
        <row r="1125">
          <cell r="C1125" t="str">
            <v>МГГ САЛЬНИКОВ С.С.</v>
          </cell>
        </row>
        <row r="1126">
          <cell r="C1126" t="str">
            <v>МЕЖДУНАРОДНЫЙ БАНКОВСКИЙ ИНСТИТУТ</v>
          </cell>
        </row>
        <row r="1127">
          <cell r="C1127" t="str">
            <v>МЕЖФЕРМЕРСКОЕ ОБ.ТОО БЕРЕЗИТ</v>
          </cell>
        </row>
        <row r="1128">
          <cell r="C1128" t="str">
            <v>МЕЖХОЗ.ОБЪЕДИНЕНИЕ ПО КАП.СТР-ВУ</v>
          </cell>
        </row>
        <row r="1129">
          <cell r="C1129" t="str">
            <v>Мельник В.А.</v>
          </cell>
        </row>
        <row r="1130">
          <cell r="C1130" t="str">
            <v>МЕСТНЫЙ БЮДЖЕТ</v>
          </cell>
        </row>
        <row r="1131">
          <cell r="C1131" t="str">
            <v>МЕТРОЛОГИЧЕСКАЯ СЛУЖБА</v>
          </cell>
        </row>
        <row r="1132">
          <cell r="C1132" t="str">
            <v>МЕТРОЛОГИЧЕСКАЯ СЛУЖБА    за баланс</v>
          </cell>
        </row>
        <row r="1133">
          <cell r="C1133" t="str">
            <v>МЕХАНИЧЕСКИЙ ЗАВОД ЭЛЕКТРОН</v>
          </cell>
        </row>
        <row r="1134">
          <cell r="C1134" t="str">
            <v>МЕЦ А.И</v>
          </cell>
        </row>
        <row r="1135">
          <cell r="C1135" t="str">
            <v>МИКРЮКОВ Е.А.</v>
          </cell>
        </row>
        <row r="1136">
          <cell r="C1136" t="str">
            <v>МИН-ВО НЕФТЕПРОВОДОВ</v>
          </cell>
        </row>
        <row r="1137">
          <cell r="C1137" t="str">
            <v>МИНИБАЕВ Ф.Ф.</v>
          </cell>
        </row>
        <row r="1138">
          <cell r="C1138" t="str">
            <v>МИРОНОВ А.Е.</v>
          </cell>
        </row>
        <row r="1139">
          <cell r="C1139" t="str">
            <v>МИРОНОВ В.В.</v>
          </cell>
        </row>
        <row r="1140">
          <cell r="C1140" t="str">
            <v>МИТЯШЕВА М.В.</v>
          </cell>
        </row>
        <row r="1141">
          <cell r="C1141" t="str">
            <v>МИХАЛЕВ Ю.К.</v>
          </cell>
        </row>
        <row r="1142">
          <cell r="C1142" t="str">
            <v>МЛП РАЙАГРОСНАБ СИВА</v>
          </cell>
        </row>
        <row r="1143">
          <cell r="C1143" t="str">
            <v>ММУ ПОЛАЗНЕНСКАЯ БОЛЬНИЦА</v>
          </cell>
        </row>
        <row r="1144">
          <cell r="C1144" t="str">
            <v>ММУ ПОЛАЗНЕНСКАЯ БОЛЬНИЦА</v>
          </cell>
        </row>
        <row r="1145">
          <cell r="C1145" t="str">
            <v>ММУ ПОЛАЗНЕНСКАЯ БОЛЬНИЦА</v>
          </cell>
        </row>
        <row r="1146">
          <cell r="C1146" t="str">
            <v>ММУ ПОЛАЗНЕНСКАЯ СТОМАТ.ПОЛИКЛИНИКА</v>
          </cell>
        </row>
        <row r="1147">
          <cell r="C1147" t="str">
            <v>ММУ ПОЛАЗНЕНСКАЯ СТОМАТ.ПОЛИКЛИНИКА</v>
          </cell>
        </row>
        <row r="1148">
          <cell r="C1148" t="str">
            <v>ММУ ПОЛАЗНЕНСКАЯ СТОМАТ.ПОЛИКЛИНИКА</v>
          </cell>
        </row>
        <row r="1149">
          <cell r="C1149" t="str">
            <v>МНИИЭКО ТЭК</v>
          </cell>
        </row>
        <row r="1150">
          <cell r="C1150" t="str">
            <v>МНОГОПРОФИЛЬНАЯ АССОЦИАЦИЯ ПРЕДПРИЯТИЙ МАСП</v>
          </cell>
        </row>
        <row r="1151">
          <cell r="C1151" t="str">
            <v>МНЦ ПРОФИЛАКТИКИ И ОХРАНЫ ЗДОРОВЬЯ РАБОЧИХ</v>
          </cell>
        </row>
        <row r="1152">
          <cell r="C1152" t="str">
            <v>МОГИЛЬНИКОВ А.Б.</v>
          </cell>
        </row>
        <row r="1153">
          <cell r="C1153" t="str">
            <v>МОГИЛЬНИКОВ М.Б.</v>
          </cell>
        </row>
        <row r="1154">
          <cell r="C1154" t="str">
            <v>МОДУЛЬ</v>
          </cell>
        </row>
        <row r="1155">
          <cell r="C1155" t="str">
            <v>МОКРОВ С.В.</v>
          </cell>
        </row>
        <row r="1156">
          <cell r="C1156" t="str">
            <v>МОКРОУСОВ С.А.</v>
          </cell>
        </row>
        <row r="1157">
          <cell r="C1157" t="str">
            <v>МОКРОУСОВ С.А.</v>
          </cell>
        </row>
        <row r="1158">
          <cell r="C1158" t="str">
            <v>МОЛОЧН.СТАДО КОРОВ</v>
          </cell>
        </row>
        <row r="1159">
          <cell r="C1159" t="str">
            <v>МОНТ-РЕМ.КООП.САНТА</v>
          </cell>
        </row>
        <row r="1160">
          <cell r="C1160" t="str">
            <v>МОСК.ЭКСПЕРИМ.ПРОИЗВ.КОМБИНАТ ВМО</v>
          </cell>
        </row>
        <row r="1161">
          <cell r="C1161" t="str">
            <v>МОСКОВСКИЙ ГОС.ОТКРЫТЫЙ УНИВЕРСИТЕТ</v>
          </cell>
        </row>
        <row r="1162">
          <cell r="C1162" t="str">
            <v>МОСКОВСКИЙ ЗАВОД АВТОМАТИКИ</v>
          </cell>
        </row>
        <row r="1163">
          <cell r="C1163" t="str">
            <v>МОСКОВСКИЙ ТОПЛИВНЫЙ СОЮЗ</v>
          </cell>
        </row>
        <row r="1164">
          <cell r="C1164" t="str">
            <v>МОСКОВСКОЕ НПО СПЕКТР</v>
          </cell>
        </row>
        <row r="1165">
          <cell r="C1165" t="str">
            <v>МОСКОВСКОЕ ОБЪЕДИНЕНИЕ РУБИН</v>
          </cell>
        </row>
        <row r="1166">
          <cell r="C1166" t="str">
            <v>МОСТООТРЯД 123</v>
          </cell>
        </row>
        <row r="1167">
          <cell r="C1167" t="str">
            <v>МОСТООТРЯД 123</v>
          </cell>
        </row>
        <row r="1168">
          <cell r="C1168" t="str">
            <v>МОТОРНЫЙ ЗАВОД г.КАЛУГА</v>
          </cell>
        </row>
        <row r="1169">
          <cell r="C1169" t="str">
            <v>МП АЭРОКОСМОКОЛОГИЯ</v>
          </cell>
        </row>
        <row r="1170">
          <cell r="C1170" t="str">
            <v>МП БТИ  г.ДОБРЯНКА</v>
          </cell>
        </row>
        <row r="1171">
          <cell r="C1171" t="str">
            <v>МП ВИШЕРАТРАНСНЕФТЬ</v>
          </cell>
        </row>
        <row r="1172">
          <cell r="C1172" t="str">
            <v>МП ВИШЕРАТРАНСНЕФТЬ</v>
          </cell>
        </row>
        <row r="1173">
          <cell r="C1173" t="str">
            <v>МП ГОРЭЛЕКТРОСЕТЬ г.БЕРЕЗНИКИ</v>
          </cell>
        </row>
        <row r="1174">
          <cell r="C1174" t="str">
            <v>МП ГОРЭЛЕКТРОСЕТЬ г.БЕРЕЗНИКИ</v>
          </cell>
        </row>
        <row r="1175">
          <cell r="C1175" t="str">
            <v>МП ДОБРЯНСКИЕ ГОРОДСКИЕ ЭЛ/СЕТИ</v>
          </cell>
        </row>
        <row r="1176">
          <cell r="C1176" t="str">
            <v>МП ДОБРЯНСКИЕ ГОРОДСКИЕ ЭЛ/СЕТИ</v>
          </cell>
        </row>
        <row r="1177">
          <cell r="C1177" t="str">
            <v>МП ЖПЭТ-1 Г.БЕРЕЗНИКИ</v>
          </cell>
        </row>
        <row r="1178">
          <cell r="C1178" t="str">
            <v>МП ЖПЭТ-1 Г.БЕРЕЗНИКИ</v>
          </cell>
        </row>
        <row r="1179">
          <cell r="C1179" t="str">
            <v>МП ИНКВИР</v>
          </cell>
        </row>
        <row r="1180">
          <cell r="C1180" t="str">
            <v>МП ИНПОЛ</v>
          </cell>
        </row>
        <row r="1181">
          <cell r="C1181" t="str">
            <v>МП ИНПОЛ</v>
          </cell>
        </row>
        <row r="1182">
          <cell r="C1182" t="str">
            <v>МП ИНТЕЛЛЕКТ СЕРВИС</v>
          </cell>
        </row>
        <row r="1183">
          <cell r="C1183" t="str">
            <v>МП ИНТЕНСИФИКАЦИЯ</v>
          </cell>
        </row>
        <row r="1184">
          <cell r="C1184" t="str">
            <v>МП КАМА</v>
          </cell>
        </row>
        <row r="1185">
          <cell r="C1185" t="str">
            <v>МП КИСЛОВСКОЕ</v>
          </cell>
        </row>
        <row r="1186">
          <cell r="C1186" t="str">
            <v>МП КОМ-НОГО Х-ВА Г.ДОБРЯНКА</v>
          </cell>
        </row>
        <row r="1187">
          <cell r="C1187" t="str">
            <v>МП КОНТИНЕНТАЛЬ</v>
          </cell>
        </row>
        <row r="1188">
          <cell r="C1188" t="str">
            <v>МП КП ФОБОС</v>
          </cell>
        </row>
        <row r="1189">
          <cell r="C1189" t="str">
            <v>МП ЛОТОС г.КРАСНОВИШЕРСК</v>
          </cell>
        </row>
        <row r="1190">
          <cell r="C1190" t="str">
            <v>МП ЛУАС</v>
          </cell>
        </row>
        <row r="1191">
          <cell r="C1191" t="str">
            <v>МП МАРЯНКА</v>
          </cell>
        </row>
        <row r="1192">
          <cell r="C1192" t="str">
            <v>МП МАЯК</v>
          </cell>
        </row>
        <row r="1193">
          <cell r="C1193" t="str">
            <v>МП НАДЕЖНОСТЬ</v>
          </cell>
        </row>
        <row r="1194">
          <cell r="C1194" t="str">
            <v>МП НОВОМЕТ</v>
          </cell>
        </row>
        <row r="1195">
          <cell r="C1195" t="str">
            <v>МП ОКС ОСИНСКОГО РИК</v>
          </cell>
        </row>
        <row r="1196">
          <cell r="C1196" t="str">
            <v>МП ОПТИКА-18</v>
          </cell>
        </row>
        <row r="1197">
          <cell r="C1197" t="str">
            <v>МП ОПТИКА-18</v>
          </cell>
        </row>
        <row r="1198">
          <cell r="C1198" t="str">
            <v>МП ПОЗИТРОН</v>
          </cell>
        </row>
        <row r="1199">
          <cell r="C1199" t="str">
            <v>МП РОСЬ</v>
          </cell>
        </row>
        <row r="1200">
          <cell r="C1200" t="str">
            <v>МП СПЕЦАВТОХОЗЯЙСТВО Г.БЕРЕЗНИКИ</v>
          </cell>
        </row>
        <row r="1201">
          <cell r="C1201" t="str">
            <v>МП СТАРК</v>
          </cell>
        </row>
        <row r="1202">
          <cell r="C1202" t="str">
            <v>МП ТАЙМ</v>
          </cell>
        </row>
        <row r="1203">
          <cell r="C1203" t="str">
            <v>МП ТЕМП</v>
          </cell>
        </row>
        <row r="1204">
          <cell r="C1204" t="str">
            <v>МП ТОО КОНТУР-Т</v>
          </cell>
        </row>
        <row r="1205">
          <cell r="C1205" t="str">
            <v>МП УРАЛНЕФТЬ</v>
          </cell>
        </row>
        <row r="1206">
          <cell r="C1206" t="str">
            <v>МП УСОЛЬСКАЯ ДПМК</v>
          </cell>
        </row>
        <row r="1207">
          <cell r="C1207" t="str">
            <v>МП УСОЛЬСКАЯ ДПМК</v>
          </cell>
        </row>
        <row r="1208">
          <cell r="C1208" t="str">
            <v>МП ЭКОС</v>
          </cell>
        </row>
        <row r="1209">
          <cell r="C1209" t="str">
            <v>МП ЭЛЕКТРОНИКА</v>
          </cell>
        </row>
        <row r="1210">
          <cell r="C1210" t="str">
            <v>МП ЭХО</v>
          </cell>
        </row>
        <row r="1211">
          <cell r="C1211" t="str">
            <v>МПО ЖКХ</v>
          </cell>
        </row>
        <row r="1212">
          <cell r="C1212" t="str">
            <v>МПО ЖКХ</v>
          </cell>
        </row>
        <row r="1213">
          <cell r="C1213" t="str">
            <v>МПО ЖКХ СОЛИК.Р-НА</v>
          </cell>
        </row>
        <row r="1214">
          <cell r="C1214" t="str">
            <v>МПО КОММУНАЛЬНЫХ ПРЕДПР-ИЙ Г.УСОЛЬЕ</v>
          </cell>
        </row>
        <row r="1215">
          <cell r="C1215" t="str">
            <v>МПП МАГАЗИН 38</v>
          </cell>
        </row>
        <row r="1216">
          <cell r="C1216" t="str">
            <v>МПТ БИБКОЛЛЕКТОР</v>
          </cell>
        </row>
        <row r="1217">
          <cell r="C1217" t="str">
            <v>МСК ЭНЕРГО АМЕКС</v>
          </cell>
        </row>
        <row r="1218">
          <cell r="C1218" t="str">
            <v>МСУ-59 ТРЕСТА-15</v>
          </cell>
        </row>
        <row r="1219">
          <cell r="C1219" t="str">
            <v>МТП СНАБСОЦБЫТ</v>
          </cell>
        </row>
        <row r="1220">
          <cell r="C1220" t="str">
            <v>МУ СЛУЖБА ЗАКАЗЧИКА ПО ЖКК</v>
          </cell>
        </row>
        <row r="1221">
          <cell r="C1221" t="str">
            <v>МУ УРАЛЭНЕРГОСАНТЕХМОНТАЖ</v>
          </cell>
        </row>
        <row r="1222">
          <cell r="C1222" t="str">
            <v>МУ УРАЛЭНЕРГОСАНТЕХМОНТАЖ</v>
          </cell>
        </row>
        <row r="1223">
          <cell r="C1223" t="str">
            <v>МУ-6 АООТ ЭлектроУралМонтаж</v>
          </cell>
        </row>
        <row r="1224">
          <cell r="C1224" t="str">
            <v>МУ-6 АООТ ЭлектроУралМонтаж</v>
          </cell>
        </row>
        <row r="1225">
          <cell r="C1225" t="str">
            <v>МУНИЦИПАЛЬНОЕ ПРЕД-Е ГОРЗЕЛЕНСТРОЙ</v>
          </cell>
        </row>
        <row r="1226">
          <cell r="C1226" t="str">
            <v>МУНИЦИПАЛЬНОЕ УЧРЕЖД.ЛЕСНАЯ СКАЗКА</v>
          </cell>
        </row>
        <row r="1227">
          <cell r="C1227" t="str">
            <v>МУНИЦИПАЛЬНОЕ УЧРЕЖД.ЛЕСНАЯ СКАЗКА</v>
          </cell>
        </row>
        <row r="1228">
          <cell r="C1228" t="str">
            <v>МУП АПТЕКА 132</v>
          </cell>
        </row>
        <row r="1229">
          <cell r="C1229" t="str">
            <v>МУП АПТЕКА 132</v>
          </cell>
        </row>
        <row r="1230">
          <cell r="C1230" t="str">
            <v>МУП АПТЕКА 132</v>
          </cell>
        </row>
        <row r="1231">
          <cell r="C1231" t="str">
            <v>МУП БТИ Г.БЕРЕЗНИКИ</v>
          </cell>
        </row>
        <row r="1232">
          <cell r="C1232" t="str">
            <v>МУП ВОДОКАНАЛ г.БЕРЕЗНИКИ</v>
          </cell>
        </row>
        <row r="1233">
          <cell r="C1233" t="str">
            <v>МУП ВОДОКАНАЛ г.БЕРЕЗНИКИ</v>
          </cell>
        </row>
        <row r="1234">
          <cell r="C1234" t="str">
            <v>МУП ГОРАВТОДОР</v>
          </cell>
        </row>
        <row r="1235">
          <cell r="C1235" t="str">
            <v>МУП ГОРАВТОДОР</v>
          </cell>
        </row>
        <row r="1236">
          <cell r="C1236" t="str">
            <v>МУП ДОБРЯНСКИЕ ГОРОДСКИЕ ТЕПЛОСЕТИ</v>
          </cell>
        </row>
        <row r="1237">
          <cell r="C1237" t="str">
            <v>МУП ДОБРЯНСКОЕ РТП</v>
          </cell>
        </row>
        <row r="1238">
          <cell r="C1238" t="str">
            <v>МУП ДОБРЯНСКОЕ РТП</v>
          </cell>
        </row>
        <row r="1239">
          <cell r="C1239" t="str">
            <v>МУП ЖКК</v>
          </cell>
        </row>
        <row r="1240">
          <cell r="C1240" t="str">
            <v>МУП ЖКК</v>
          </cell>
        </row>
        <row r="1241">
          <cell r="C1241" t="str">
            <v>МУП ЖКК</v>
          </cell>
        </row>
        <row r="1242">
          <cell r="C1242" t="str">
            <v>МУП ЖПЭТ-2</v>
          </cell>
        </row>
        <row r="1243">
          <cell r="C1243" t="str">
            <v>МУП ПОЛАЗНЕНСКИЙ РЫНОК</v>
          </cell>
        </row>
        <row r="1244">
          <cell r="C1244" t="str">
            <v>МУП ТЕПЛОЭНЕРГО Г.БЕРЕЗНИКИ</v>
          </cell>
        </row>
        <row r="1245">
          <cell r="C1245" t="str">
            <v>МУП ТРЕСТ СОЦИАЛЬНОГО ПИТАНИЯ</v>
          </cell>
        </row>
        <row r="1246">
          <cell r="C1246" t="str">
            <v>МУП ЦЕНТР СОЦИАЛЬНОЙ ПОМОЩИ НАСЕЛЕНИЮ</v>
          </cell>
        </row>
        <row r="1247">
          <cell r="C1247" t="str">
            <v>МХПО ПЕРМАГРОСНАБ</v>
          </cell>
        </row>
        <row r="1248">
          <cell r="C1248" t="str">
            <v>МЧПК СТРОИТ.КОМПЛ.</v>
          </cell>
        </row>
        <row r="1249">
          <cell r="C1249" t="str">
            <v>НАБОРЩИКОВ Н.А.</v>
          </cell>
        </row>
        <row r="1250">
          <cell r="C1250" t="str">
            <v>НАЗАРОВ А.Ю.</v>
          </cell>
        </row>
        <row r="1251">
          <cell r="C1251" t="str">
            <v>Назаров Ю.А.</v>
          </cell>
        </row>
        <row r="1252">
          <cell r="C1252" t="str">
            <v>НАЛИЧНЫЙ РАСЧЕТ КУЗЯЕВ А.Р.</v>
          </cell>
        </row>
        <row r="1253">
          <cell r="C1253" t="str">
            <v>НВП ВЕРХНЕКАМЬЕ</v>
          </cell>
        </row>
        <row r="1254">
          <cell r="C1254" t="str">
            <v>НВП ДИАЛОГ</v>
          </cell>
        </row>
        <row r="1255">
          <cell r="C1255" t="str">
            <v>НВУ УРАЛКАЛИЙ</v>
          </cell>
        </row>
        <row r="1256">
          <cell r="C1256" t="str">
            <v>НГДУ "ПОЛАЗНАНЕФТЬ"</v>
          </cell>
        </row>
        <row r="1257">
          <cell r="C1257" t="str">
            <v>НГДУ "ПОЛАЗНАНЕФТЬ"</v>
          </cell>
        </row>
        <row r="1258">
          <cell r="C1258" t="str">
            <v>НГДУ КРАСНОКАМСКНЕФТЬ</v>
          </cell>
        </row>
        <row r="1259">
          <cell r="C1259" t="str">
            <v>НГДУ КРАСНОКАМСКНЕФТЬ</v>
          </cell>
        </row>
        <row r="1260">
          <cell r="C1260" t="str">
            <v>НГДУ КУНГУРНЕФТЬ</v>
          </cell>
        </row>
        <row r="1261">
          <cell r="C1261" t="str">
            <v>НГДУ КУНГУРНЕФТЬ</v>
          </cell>
        </row>
        <row r="1262">
          <cell r="C1262" t="str">
            <v>НГДУ ПЕРМОБЛНЕФТЬ</v>
          </cell>
        </row>
        <row r="1263">
          <cell r="C1263" t="str">
            <v>НГДУ ПОЛАЗНАНЕФТЬ</v>
          </cell>
        </row>
        <row r="1264">
          <cell r="C1264" t="str">
            <v>НГДУ УФАНЕФТЬ</v>
          </cell>
        </row>
        <row r="1265">
          <cell r="C1265" t="str">
            <v>НГДУ ЧЕРНУШКАНЕФТЬ ОАО ЛУКОЙЛ-ПЕРМНЕФТЬ</v>
          </cell>
        </row>
        <row r="1266">
          <cell r="C1266" t="str">
            <v>НГДУ ЧЕРНУШКАНЕФТЬ ОАО ЛУКОЙЛ-ПЕРМНЕФТЬ</v>
          </cell>
        </row>
        <row r="1267">
          <cell r="C1267" t="str">
            <v>НЕФТЕГАЗЭЛЕКТРОРЕМОНТ</v>
          </cell>
        </row>
        <row r="1268">
          <cell r="C1268" t="str">
            <v>НЗНО АНК БАШНЕФТЬ</v>
          </cell>
        </row>
        <row r="1269">
          <cell r="C1269" t="str">
            <v>НЗНО АНК БАШНЕФТЬ</v>
          </cell>
        </row>
        <row r="1270">
          <cell r="C1270" t="str">
            <v>НИЖНЕ-ТАГИЛЬСКИЙ КОТЕЛЬНО-РАД</v>
          </cell>
        </row>
        <row r="1271">
          <cell r="C1271" t="str">
            <v>НИИ ВЫЧИСЛИТЕЛЬНОЙ ТЕХНИКИ</v>
          </cell>
        </row>
        <row r="1272">
          <cell r="C1272" t="str">
            <v>НИИ НЕФТЕОТДАЧА</v>
          </cell>
        </row>
        <row r="1273">
          <cell r="C1273" t="str">
            <v>НИИ ПОЛИМЕРНЫХ МАТЕРИАЛОВ</v>
          </cell>
        </row>
        <row r="1274">
          <cell r="C1274" t="str">
            <v>НИИ ТОЧНОГО И ЭЛ.МАШИНОСТРОЕНИЯ</v>
          </cell>
        </row>
        <row r="1275">
          <cell r="C1275" t="str">
            <v>НИПИ ПРОМТЕХНОЛОГИЯ</v>
          </cell>
        </row>
        <row r="1276">
          <cell r="C1276" t="str">
            <v>НИС</v>
          </cell>
        </row>
        <row r="1277">
          <cell r="C1277" t="str">
            <v>НК ЛУКОЙЛ</v>
          </cell>
        </row>
        <row r="1278">
          <cell r="C1278" t="str">
            <v>НО МЕЖРЕГИОНАЛЬНЫЙ ТОПЛИВНЫЙ СОЮЗ</v>
          </cell>
        </row>
        <row r="1279">
          <cell r="C1279" t="str">
            <v>НО МЕЖРЕГИОНАЛЬНЫЙ ТОПЛИВНЫЙ СОЮЗ</v>
          </cell>
        </row>
        <row r="1280">
          <cell r="C1280" t="str">
            <v>НОВИЧКОВ В.М.</v>
          </cell>
        </row>
        <row r="1281">
          <cell r="C1281" t="str">
            <v>НОВОАЛТАЙСКИЙ КРЗ</v>
          </cell>
        </row>
        <row r="1282">
          <cell r="C1282" t="str">
            <v>НОВОЖИЛОВ А.Н.</v>
          </cell>
        </row>
        <row r="1283">
          <cell r="C1283" t="str">
            <v>НОВОСИБ.МЕЖДУНАР.ТЕЛЕФ.СЕТЬ</v>
          </cell>
        </row>
        <row r="1284">
          <cell r="C1284" t="str">
            <v>НПК РОТОР</v>
          </cell>
        </row>
        <row r="1285">
          <cell r="C1285" t="str">
            <v>НПК СТАНКОИНКОМ</v>
          </cell>
        </row>
        <row r="1286">
          <cell r="C1286" t="str">
            <v>НПО АГРОН</v>
          </cell>
        </row>
        <row r="1287">
          <cell r="C1287" t="str">
            <v>НПО БУРЕНИЕ</v>
          </cell>
        </row>
        <row r="1288">
          <cell r="C1288" t="str">
            <v>НПО ГАРАНТ</v>
          </cell>
        </row>
        <row r="1289">
          <cell r="C1289" t="str">
            <v>НПО ИНТРОТЕСТ</v>
          </cell>
        </row>
        <row r="1290">
          <cell r="C1290" t="str">
            <v>НПО КАСКАД</v>
          </cell>
        </row>
        <row r="1291">
          <cell r="C1291" t="str">
            <v>НПО НОВОМЕТ</v>
          </cell>
        </row>
        <row r="1292">
          <cell r="C1292" t="str">
            <v>НПО ПОЛСАРТ</v>
          </cell>
        </row>
        <row r="1293">
          <cell r="C1293" t="str">
            <v>НПО САПИР</v>
          </cell>
        </row>
        <row r="1294">
          <cell r="C1294" t="str">
            <v>НПО СТРОЙИЗЫСКАНИЕ</v>
          </cell>
        </row>
        <row r="1295">
          <cell r="C1295" t="str">
            <v>НПО УРАЛЭЛЕКТРОТЯЖМАШ</v>
          </cell>
        </row>
        <row r="1296">
          <cell r="C1296" t="str">
            <v>НПО ЭКОНТ</v>
          </cell>
        </row>
        <row r="1297">
          <cell r="C1297" t="str">
            <v>НПП АВТОМАТИКА</v>
          </cell>
        </row>
        <row r="1298">
          <cell r="C1298" t="str">
            <v>НПП ВИКОНТ</v>
          </cell>
        </row>
        <row r="1299">
          <cell r="C1299" t="str">
            <v>НПП ДИИАР</v>
          </cell>
        </row>
        <row r="1300">
          <cell r="C1300" t="str">
            <v>НПП ИЗЫСКАТЕЛЬ</v>
          </cell>
        </row>
        <row r="1301">
          <cell r="C1301" t="str">
            <v>НПП ИНТРОМАГ</v>
          </cell>
        </row>
        <row r="1302">
          <cell r="C1302" t="str">
            <v>НПП КРАЕВ</v>
          </cell>
        </row>
        <row r="1303">
          <cell r="C1303" t="str">
            <v>НПП ЛОГУС</v>
          </cell>
        </row>
        <row r="1304">
          <cell r="C1304" t="str">
            <v>НПП ЛОГУС</v>
          </cell>
        </row>
        <row r="1305">
          <cell r="C1305" t="str">
            <v>НПП НЕФТЕПРОММАШ</v>
          </cell>
        </row>
        <row r="1306">
          <cell r="C1306" t="str">
            <v>НПП НЕФТЕПРОМСЕРВИС</v>
          </cell>
        </row>
        <row r="1307">
          <cell r="C1307" t="str">
            <v>НПП СЕНСОРИКА ЛТД</v>
          </cell>
        </row>
        <row r="1308">
          <cell r="C1308" t="str">
            <v>НПП СИГМА</v>
          </cell>
        </row>
        <row r="1309">
          <cell r="C1309" t="str">
            <v>НПП СИСТЕМА</v>
          </cell>
        </row>
        <row r="1310">
          <cell r="C1310" t="str">
            <v>НПП СЛАНТ</v>
          </cell>
        </row>
        <row r="1311">
          <cell r="C1311" t="str">
            <v>НПП ТОО НОВОМЕД</v>
          </cell>
        </row>
        <row r="1312">
          <cell r="C1312" t="str">
            <v>НПП ХаВа</v>
          </cell>
        </row>
        <row r="1313">
          <cell r="C1313" t="str">
            <v>НПП ЭЛЕМЕР</v>
          </cell>
        </row>
        <row r="1314">
          <cell r="C1314" t="str">
            <v>НПФ ВЫБОР</v>
          </cell>
        </row>
        <row r="1315">
          <cell r="C1315" t="str">
            <v>НПФ ЛЮМЭКС</v>
          </cell>
        </row>
        <row r="1316">
          <cell r="C1316" t="str">
            <v>НПФ МЭЛС</v>
          </cell>
        </row>
        <row r="1317">
          <cell r="C1317" t="str">
            <v>НПФ МЭЛС</v>
          </cell>
        </row>
        <row r="1318">
          <cell r="C1318" t="str">
            <v>НПФ НЬЮТОН</v>
          </cell>
        </row>
        <row r="1319">
          <cell r="C1319" t="str">
            <v>НПЦ ДЕЛЬТА-3</v>
          </cell>
        </row>
        <row r="1320">
          <cell r="C1320" t="str">
            <v>НПЦ СВЕТОЧЬ</v>
          </cell>
        </row>
        <row r="1321">
          <cell r="C1321" t="str">
            <v>НТК ПОИСК</v>
          </cell>
        </row>
        <row r="1322">
          <cell r="C1322" t="str">
            <v>НТФ ОЛЕКС</v>
          </cell>
        </row>
        <row r="1323">
          <cell r="C1323" t="str">
            <v>НТФ ОМКС</v>
          </cell>
        </row>
        <row r="1324">
          <cell r="C1324" t="str">
            <v>НТЦ КОМИНФОРМ</v>
          </cell>
        </row>
        <row r="1325">
          <cell r="C1325" t="str">
            <v>НТЦ ЛЕКС</v>
          </cell>
        </row>
        <row r="1326">
          <cell r="C1326" t="str">
            <v>НУ АО НЕФТЕАВТОМАТИКА  Г.НЕФТЕКАМСК</v>
          </cell>
        </row>
        <row r="1327">
          <cell r="C1327" t="str">
            <v>НУ ПО СНЕМА</v>
          </cell>
        </row>
        <row r="1328">
          <cell r="C1328" t="str">
            <v>НЫТВЕНСКИЙ МЕТАЛЛУРГИЧЕСКИЙ ЗАВОД</v>
          </cell>
        </row>
        <row r="1329">
          <cell r="C1329" t="str">
            <v>ОАО АВИСМА ТИТАНО-МАГНИЕВЫЙ КОМБИНТ</v>
          </cell>
        </row>
        <row r="1330">
          <cell r="C1330" t="str">
            <v>ОАО БЕЛМЕТКОМБИНАТ</v>
          </cell>
        </row>
        <row r="1331">
          <cell r="C1331" t="str">
            <v>ОАО БЕЛМЕТКОМБИНАТ</v>
          </cell>
        </row>
        <row r="1332">
          <cell r="C1332" t="str">
            <v>ОАО БЕРАТОН</v>
          </cell>
        </row>
        <row r="1333">
          <cell r="C1333" t="str">
            <v>ОАО БЕРАТОН</v>
          </cell>
        </row>
        <row r="1334">
          <cell r="C1334" t="str">
            <v>ОАО БЕРЕЗНИКОВСКОЕ ПР-Е УРАЛХИММОНТАЖ-1</v>
          </cell>
        </row>
        <row r="1335">
          <cell r="C1335" t="str">
            <v>ОАО БЕРЕЗНИКОВСКОЕ ПР-Е УРАЛХИММОНТАЖ-1</v>
          </cell>
        </row>
        <row r="1336">
          <cell r="C1336" t="str">
            <v>ОАО ВЕРЕЩАГИНСКИЙ ХЛЕБОКОМБИНАТ</v>
          </cell>
        </row>
        <row r="1337">
          <cell r="C1337" t="str">
            <v>ОАО ВЕРЕЩАГИНСКИЙ ХЛЕБОКОМБИНАТ</v>
          </cell>
        </row>
        <row r="1338">
          <cell r="C1338" t="str">
            <v>ОАО ВЕРХНЕКАМТИСИЗ</v>
          </cell>
        </row>
        <row r="1339">
          <cell r="C1339" t="str">
            <v>ОАО ВЛАДИМИРСКИЙ З-Д АВТОПРИБОР</v>
          </cell>
        </row>
        <row r="1340">
          <cell r="C1340" t="str">
            <v>ОАО ВНИИНЕФТЬ ИМ.АКАДЕМИКА А.П.КРЫЛОВА</v>
          </cell>
        </row>
        <row r="1341">
          <cell r="C1341" t="str">
            <v>ОАО ВНИИНЕФТЬ ИМ.АКАДЕМИКА А.П.КРЫЛОВА</v>
          </cell>
        </row>
        <row r="1342">
          <cell r="C1342" t="str">
            <v>ОАО ВНИИОЭНГ</v>
          </cell>
        </row>
        <row r="1343">
          <cell r="C1343" t="str">
            <v>ОАО ВОЕНИЗИРОВАННАЯ ОХРАНА ПЕРМНЕФТЬ</v>
          </cell>
        </row>
        <row r="1344">
          <cell r="C1344" t="str">
            <v>ОАО ВОЕНИЗИРОВАННАЯ ОХРАНА ПЕРМНЕФТЬ</v>
          </cell>
        </row>
        <row r="1345">
          <cell r="C1345" t="str">
            <v>ОАО ВОЕНИЗИРОВАННАЯ ОХРАНА ПЕРМНЕФТЬ</v>
          </cell>
        </row>
        <row r="1346">
          <cell r="C1346" t="str">
            <v>ОАО В-САЛДИНСКОЕ МЕТАЛЛУРГИЧЕСКОЕ ПРОИЗВОДСТВ.ОБ-Е</v>
          </cell>
        </row>
        <row r="1347">
          <cell r="C1347" t="str">
            <v>ОАО ГАЗСТРОЙДЕТАЛЬ</v>
          </cell>
        </row>
        <row r="1348">
          <cell r="C1348" t="str">
            <v>ОАО ГАЛОГЕН</v>
          </cell>
        </row>
        <row r="1349">
          <cell r="C1349" t="str">
            <v>ОАО ГАЛОГЕН</v>
          </cell>
        </row>
        <row r="1350">
          <cell r="C1350" t="str">
            <v>ОАО ГАЛОГЕЯ</v>
          </cell>
        </row>
        <row r="1351">
          <cell r="C1351" t="str">
            <v>ОАО ГАЛУРГИЯ</v>
          </cell>
        </row>
        <row r="1352">
          <cell r="C1352" t="str">
            <v>ОАО ГАРО</v>
          </cell>
        </row>
        <row r="1353">
          <cell r="C1353" t="str">
            <v>ОАО ГЕОЛОГО-ПОИСКОВАЯ КОНТОРА</v>
          </cell>
        </row>
        <row r="1354">
          <cell r="C1354" t="str">
            <v>ОАО ГЕОЛОГО-ПОИСКОВАЯ КОНТОРА</v>
          </cell>
        </row>
        <row r="1355">
          <cell r="C1355" t="str">
            <v>ОАО ГРУЗАВТО Г.БЕРЕЗНИКИ</v>
          </cell>
        </row>
        <row r="1356">
          <cell r="C1356" t="str">
            <v>ОАО ДЕТСКИЙ МИР</v>
          </cell>
        </row>
        <row r="1357">
          <cell r="C1357" t="str">
            <v>ОАО ДОБРЯНСКОЕ АТП</v>
          </cell>
        </row>
        <row r="1358">
          <cell r="C1358" t="str">
            <v>ОАО ДОБРЯНСКОЕ АТП</v>
          </cell>
        </row>
        <row r="1359">
          <cell r="C1359" t="str">
            <v>ОАО ЗАВОД ГОРНО-ШАХТНОГО МАШИНОСТРОЕНИЯ</v>
          </cell>
        </row>
        <row r="1360">
          <cell r="C1360" t="str">
            <v>ОАО ЗАВОД КРАСНОЕ СОРМОВО</v>
          </cell>
        </row>
        <row r="1361">
          <cell r="C1361" t="str">
            <v>ОАО ЗАВОД НЕФТЕГАЗМАШ г.САРАТОВ</v>
          </cell>
        </row>
        <row r="1362">
          <cell r="C1362" t="str">
            <v>ОАО З-Д Э/ТЕХНИЧЕСКОГО ОБОРУДОВАНИЯ Г.БУГУЛЬМА</v>
          </cell>
        </row>
        <row r="1363">
          <cell r="C1363" t="str">
            <v>ОАО З-Д Э/ТЕХНИЧЕСКОГО ОБОРУДОВАНИЯ Г.БУГУЛЬМА</v>
          </cell>
        </row>
        <row r="1364">
          <cell r="C1364" t="str">
            <v>ОАО ИЗДАТЕЛЬСТВО НЕДРА</v>
          </cell>
        </row>
        <row r="1365">
          <cell r="C1365" t="str">
            <v>ОАО ИНЖ.ПР.ФИРМА СИБНЕФТЕАВТОМАТИКА</v>
          </cell>
        </row>
        <row r="1366">
          <cell r="C1366" t="str">
            <v>ОАО ИШИМБАЙСКИЙ МАШИНОСТРОИТ.ЗАВОД</v>
          </cell>
        </row>
        <row r="1367">
          <cell r="C1367" t="str">
            <v>ОАО КРАСНОКАМСКАВТОТРАНСНЕФТЬ</v>
          </cell>
        </row>
        <row r="1368">
          <cell r="C1368" t="str">
            <v>ОАО КРАСНОКАМСКИЙ МАШ.ЗАВОД</v>
          </cell>
        </row>
        <row r="1369">
          <cell r="C1369" t="str">
            <v>ОАО КРАСНОКАМСКИЙ МАШ.ЗАВОД</v>
          </cell>
        </row>
        <row r="1370">
          <cell r="C1370" t="str">
            <v>ОАО КУНГУРСКАЯ КБРС</v>
          </cell>
        </row>
        <row r="1371">
          <cell r="C1371" t="str">
            <v>ОАО ЛИВГИДРОММАШ</v>
          </cell>
        </row>
        <row r="1372">
          <cell r="C1372" t="str">
            <v>ОАО ЛУКОЙЛ-ПЕРМНЕФТЬ</v>
          </cell>
        </row>
        <row r="1373">
          <cell r="C1373" t="str">
            <v>ОАО ЛУКОЙЛ-ПЕРМНЕФТЬ</v>
          </cell>
        </row>
        <row r="1374">
          <cell r="C1374" t="str">
            <v>ОАО ЛУКОЙЛ-ПЕРМНЕФТЬ</v>
          </cell>
        </row>
        <row r="1375">
          <cell r="C1375" t="str">
            <v>ОАО НОВГОРОДСКИЙ ЗАВОД ГАРО</v>
          </cell>
        </row>
        <row r="1376">
          <cell r="C1376" t="str">
            <v>ОАО НОВОСИБИРСКИЙ ОЛОВЯНЫЙ КОМБИНАТ</v>
          </cell>
        </row>
        <row r="1377">
          <cell r="C1377" t="str">
            <v>ОАО НПО БУРЕНИЕ</v>
          </cell>
        </row>
        <row r="1378">
          <cell r="C1378" t="str">
            <v>ОАО ОПТПРОДТОРГ</v>
          </cell>
        </row>
        <row r="1379">
          <cell r="C1379" t="str">
            <v>ОАО ОСВАР г.ВЯЗНИКИ</v>
          </cell>
        </row>
        <row r="1380">
          <cell r="C1380" t="str">
            <v>ОАО ПЕНЗЕНСКИЙ АРМАТУРНЫЙ ЗАВОД</v>
          </cell>
        </row>
        <row r="1381">
          <cell r="C1381" t="str">
            <v>ОАО ПЕРМАГРОСНАБ</v>
          </cell>
        </row>
        <row r="1382">
          <cell r="C1382" t="str">
            <v>ОАО ПЕРМГЛАВСНАБ</v>
          </cell>
        </row>
        <row r="1383">
          <cell r="C1383" t="str">
            <v>ОАО ПЕРМГРАЖДАНПРОЕКТ</v>
          </cell>
        </row>
        <row r="1384">
          <cell r="C1384" t="str">
            <v>ОАО ПЕРМДОРСТРОЙ</v>
          </cell>
        </row>
        <row r="1385">
          <cell r="C1385" t="str">
            <v>ОАО ПЕРМДОРСТРОЙ</v>
          </cell>
        </row>
        <row r="1386">
          <cell r="C1386" t="str">
            <v>ОАО ПЕРММЯСОКОМБИНАТ</v>
          </cell>
        </row>
        <row r="1387">
          <cell r="C1387" t="str">
            <v>ОАО ПЕРММЯСОКОМБИНАТ</v>
          </cell>
        </row>
        <row r="1388">
          <cell r="C1388" t="str">
            <v>ОАО ПЕРМНЕФТЕГЕОФИЗИКА</v>
          </cell>
        </row>
        <row r="1389">
          <cell r="C1389" t="str">
            <v>ОАО ПЕРМНЕФТЕГЕОФИЗИКА КРАСНОКАМСКИЙ ФИЛИАЛ</v>
          </cell>
        </row>
        <row r="1390">
          <cell r="C1390" t="str">
            <v>ОАО ПЕРМНЕФТЕГЕОФИЗИКА ПОЛАЗН.ФИЛ-Л</v>
          </cell>
        </row>
        <row r="1391">
          <cell r="C1391" t="str">
            <v>ОАО ПЕРМНЕФТЕГЕОФИЗИКА ПОЛАЗН.ФИЛ-Л</v>
          </cell>
        </row>
        <row r="1392">
          <cell r="C1392" t="str">
            <v>ОАО ПЕРМНЕФТЕГЕОФИЗИКА ПОЛАЗН.ФИЛ-Л</v>
          </cell>
        </row>
        <row r="1393">
          <cell r="C1393" t="str">
            <v>ОАО ПЕРМНЕФТЕГЕОФИЗИКА ЦОИ</v>
          </cell>
        </row>
        <row r="1394">
          <cell r="C1394" t="str">
            <v>ОАО ПЕРМНИПИНЕФТЬ</v>
          </cell>
        </row>
        <row r="1395">
          <cell r="C1395" t="str">
            <v>ОАО ПЕРМНИПИНЕФТЬ</v>
          </cell>
        </row>
        <row r="1396">
          <cell r="C1396" t="str">
            <v>ОАО ПЕРМНИПИНЕФТЬ</v>
          </cell>
        </row>
        <row r="1397">
          <cell r="C1397" t="str">
            <v>ОАО ПЕРМОБЛНЕФТЬ</v>
          </cell>
        </row>
        <row r="1398">
          <cell r="C1398" t="str">
            <v>ОАО ПЕРМОБЛНЕФТЬ</v>
          </cell>
        </row>
        <row r="1399">
          <cell r="C1399" t="str">
            <v>ОАО ПЕРМОДЕЖДА</v>
          </cell>
        </row>
        <row r="1400">
          <cell r="C1400" t="str">
            <v>ОАО ПЕРМОПТТОРГ</v>
          </cell>
        </row>
        <row r="1401">
          <cell r="C1401" t="str">
            <v>ОАО ПЕРМСКАЯ КОНДИТЕРСКАЯ ФАБРИКА</v>
          </cell>
        </row>
        <row r="1402">
          <cell r="C1402" t="str">
            <v>ОАО ПЕРМСКИЙ ГПЗ АК СИБУР</v>
          </cell>
        </row>
        <row r="1403">
          <cell r="C1403" t="str">
            <v>ОАО ПЕРМСКИЙ ЗАВОД СМАЗОК И СОЖ</v>
          </cell>
        </row>
        <row r="1404">
          <cell r="C1404" t="str">
            <v>ОАО ПЕРМСКИЙ ОБЛ.УНИВЕРМАГ</v>
          </cell>
        </row>
        <row r="1405">
          <cell r="C1405" t="str">
            <v>ОАО ПЕРМСКИЙ ЦБК</v>
          </cell>
        </row>
        <row r="1406">
          <cell r="C1406" t="str">
            <v>ОАО ПЕРМСКИЙ ЦБК</v>
          </cell>
        </row>
        <row r="1407">
          <cell r="C1407" t="str">
            <v>ОАО ПЕРМСКИЙ ЭЛ.МЕХАНИЧЕСКИЙ З-Д</v>
          </cell>
        </row>
        <row r="1408">
          <cell r="C1408" t="str">
            <v>ОАО ПЕРМСКОЕ СУ ГИДРОСПЕЦСТРОЙ</v>
          </cell>
        </row>
        <row r="1409">
          <cell r="C1409" t="str">
            <v>ОАО ПЕРМТЕХСНАБНЕФТЬ</v>
          </cell>
        </row>
        <row r="1410">
          <cell r="C1410" t="str">
            <v>ОАО ПЕРМТОРГНЕФТЬ</v>
          </cell>
        </row>
        <row r="1411">
          <cell r="C1411" t="str">
            <v>ОАО ПЕРМТОРГНЕФТЬ</v>
          </cell>
        </row>
        <row r="1412">
          <cell r="C1412" t="str">
            <v>ОАО ПЕРМТРАНСАВТО</v>
          </cell>
        </row>
        <row r="1413">
          <cell r="C1413" t="str">
            <v>ОАО ПЕРМХИМОПТОРГ</v>
          </cell>
        </row>
        <row r="1414">
          <cell r="C1414" t="str">
            <v>ОАО ПОЛАЗНЕНСКИЙ ЗАВОД ЖБИ</v>
          </cell>
        </row>
        <row r="1415">
          <cell r="C1415" t="str">
            <v>ОАО ПОЛАЗНЕНСКИЙ ЗАВОД ЖБИ</v>
          </cell>
        </row>
        <row r="1416">
          <cell r="C1416" t="str">
            <v>ОАО ПРОМСВЯЗЬ</v>
          </cell>
        </row>
        <row r="1417">
          <cell r="C1417" t="str">
            <v>ОАО ПСКОВ-АВТО</v>
          </cell>
        </row>
        <row r="1418">
          <cell r="C1418" t="str">
            <v>ОАО РЕНО-ЦБПО СТ.ФЕРМА</v>
          </cell>
        </row>
        <row r="1419">
          <cell r="C1419" t="str">
            <v>ОАО РЕНО-ЦБПО СТ.ФЕРМА</v>
          </cell>
        </row>
        <row r="1420">
          <cell r="C1420" t="str">
            <v>ОАО РНТЦ ВНИИНЕФТЬ</v>
          </cell>
        </row>
        <row r="1421">
          <cell r="C1421" t="str">
            <v>ОАО САМАРСКИЙ ЗАВОД ЭЛЕКТРОЩИТ</v>
          </cell>
        </row>
        <row r="1422">
          <cell r="C1422" t="str">
            <v>ОАО СМУ-1</v>
          </cell>
        </row>
        <row r="1423">
          <cell r="C1423" t="str">
            <v>ОАО СМУ-1</v>
          </cell>
        </row>
        <row r="1424">
          <cell r="C1424" t="str">
            <v>ОАО СМУ-1</v>
          </cell>
        </row>
        <row r="1425">
          <cell r="C1425" t="str">
            <v>ОАО СМУ-1</v>
          </cell>
        </row>
        <row r="1426">
          <cell r="C1426" t="str">
            <v>ОАО СОВХОЗ ВСХОДЫ</v>
          </cell>
        </row>
        <row r="1427">
          <cell r="C1427" t="str">
            <v>ОАО СОВХОЗ ВСХОДЫ</v>
          </cell>
        </row>
        <row r="1428">
          <cell r="C1428" t="str">
            <v>ОАО СОВХОЗ ИСТОК</v>
          </cell>
        </row>
        <row r="1429">
          <cell r="C1429" t="str">
            <v>ОАО СОВХОЗ КУРОШИМСКИЙ</v>
          </cell>
        </row>
        <row r="1430">
          <cell r="C1430" t="str">
            <v>ОАО СОВХОЗ КУРОШИМСКИЙ</v>
          </cell>
        </row>
        <row r="1431">
          <cell r="C1431" t="str">
            <v>ОАО СОДА Г.БЕРЕЗНИКИ</v>
          </cell>
        </row>
        <row r="1432">
          <cell r="C1432" t="str">
            <v>ОАО СОДА Г.БЕРЕЗНИКИ</v>
          </cell>
        </row>
        <row r="1433">
          <cell r="C1433" t="str">
            <v>ОАО СОЛИКАМСКБУМПРОМ</v>
          </cell>
        </row>
        <row r="1434">
          <cell r="C1434" t="str">
            <v>ОАО СОРБЕНТ</v>
          </cell>
        </row>
        <row r="1435">
          <cell r="C1435" t="str">
            <v>ОАО СПЕЦНЕФТЕМАТЕРИАЛЫ</v>
          </cell>
        </row>
        <row r="1436">
          <cell r="C1436" t="str">
            <v>ОАО СПЕЦНЕФТЕХИММАШ</v>
          </cell>
        </row>
        <row r="1437">
          <cell r="C1437" t="str">
            <v>ОАО ТОРГОВЫЙ ДОМ ВОТКИНСКИЕ ЗАВОДЫ</v>
          </cell>
        </row>
        <row r="1438">
          <cell r="C1438" t="str">
            <v>ОАО ТРУБОДЕТАЛЬ</v>
          </cell>
        </row>
        <row r="1439">
          <cell r="C1439" t="str">
            <v>ОАО УРАЛНЕФТЕГАЗЭЛЕКТРОМОНТАЖ</v>
          </cell>
        </row>
        <row r="1440">
          <cell r="C1440" t="str">
            <v>ОАО УРАЛНЕФТЕГАЗЭЛЕКТРОМОНТАЖ</v>
          </cell>
        </row>
        <row r="1441">
          <cell r="C1441" t="str">
            <v>ОАО УРАЛЭНЕРГОСТРОЙ</v>
          </cell>
        </row>
        <row r="1442">
          <cell r="C1442" t="str">
            <v>ОАО УЧЕБНЫЙ ЦЕНТР ПЕРМЬ-НЕФТЬ</v>
          </cell>
        </row>
        <row r="1443">
          <cell r="C1443" t="str">
            <v>ОАО УЧЕБНЫЙ ЦЕНТР ПЕРМЬ-НЕФТЬ</v>
          </cell>
        </row>
        <row r="1444">
          <cell r="C1444" t="str">
            <v>ОАО ХИМПРОМ</v>
          </cell>
        </row>
        <row r="1445">
          <cell r="C1445" t="str">
            <v>ОАО ЦБПО Г.ЧЕРНУШКА</v>
          </cell>
        </row>
        <row r="1446">
          <cell r="C1446" t="str">
            <v>ОАО ЦЕНТРАЛЬНЫЙ АГРОСНАБ</v>
          </cell>
        </row>
        <row r="1447">
          <cell r="C1447" t="str">
            <v>ОАО ЧАЙКОВСКОЕ ПРЕДПРИЯТИЕ УРАЛХИММОНТАЖ</v>
          </cell>
        </row>
        <row r="1448">
          <cell r="C1448" t="str">
            <v>ОАО ЧАЙКОВСКОЕ ПРЕДПРИЯТИЕ УРАЛХИММОНТАЖ</v>
          </cell>
        </row>
        <row r="1449">
          <cell r="C1449" t="str">
            <v>ОАО ЧЕРНУШИНСКОЕ УПРАВЛЕНИЕ ПО РЕМ.СКВАЖИН</v>
          </cell>
        </row>
        <row r="1450">
          <cell r="C1450" t="str">
            <v>ОАО ЭНА</v>
          </cell>
        </row>
        <row r="1451">
          <cell r="C1451" t="str">
            <v>ОАО ЮГО-КАМСКИЙ МАШ.ЗАВОД ИМ.ЛЕПСЕ</v>
          </cell>
        </row>
        <row r="1452">
          <cell r="C1452" t="str">
            <v>ОБЛ ТЕХНИЧ.УЗЕЛ ТЕЛЕРАД.</v>
          </cell>
        </row>
        <row r="1453">
          <cell r="C1453" t="str">
            <v>ОБЛ.ВНЕБЮДЖЕТ.ФОНД РЕСУРСЫ</v>
          </cell>
        </row>
        <row r="1454">
          <cell r="C1454" t="str">
            <v>ОБЛ.ЦЕНТР ХУДОЖ.ТВОРЧ.УЧ-СЯ РОСТОК</v>
          </cell>
        </row>
        <row r="1455">
          <cell r="C1455" t="str">
            <v>ОБОРИН В.Г.</v>
          </cell>
        </row>
        <row r="1456">
          <cell r="C1456" t="str">
            <v>ОБОРИН Н.А.</v>
          </cell>
        </row>
        <row r="1457">
          <cell r="C1457" t="str">
            <v>ОБОРИНА Г.С.</v>
          </cell>
        </row>
        <row r="1458">
          <cell r="C1458" t="str">
            <v>ОБЩЕЖИТИЕ</v>
          </cell>
        </row>
        <row r="1459">
          <cell r="C1459" t="str">
            <v>ОБЩЕЖИТИЕ 1</v>
          </cell>
        </row>
        <row r="1460">
          <cell r="C1460" t="str">
            <v>ОБЩЕЖИТИЕ 1               за баланс</v>
          </cell>
        </row>
        <row r="1461">
          <cell r="C1461" t="str">
            <v>ОБЩЕЖИТИЕ БЕРЕЗНИКИ</v>
          </cell>
        </row>
        <row r="1462">
          <cell r="C1462" t="str">
            <v>ОБЩЕЖИТИЕ БЕРЕЗНИКИ       за баланс</v>
          </cell>
        </row>
        <row r="1463">
          <cell r="C1463" t="str">
            <v>ОБЩЕПР.РАСХОДЫ</v>
          </cell>
        </row>
        <row r="1464">
          <cell r="C1464" t="str">
            <v>ОБЩЕХОЗ.РАСХОДЫ</v>
          </cell>
        </row>
        <row r="1465">
          <cell r="C1465" t="str">
            <v>ОБЩЕХОЗ.РАСХОДЫ           за баланс</v>
          </cell>
        </row>
        <row r="1466">
          <cell r="C1466" t="str">
            <v>ОБЪЕДЕНЕННЫЙ ПРОФКОМ ЗАО ЛУКОЙЛ-ПЕРМЬ</v>
          </cell>
        </row>
        <row r="1467">
          <cell r="C1467" t="str">
            <v>ОБЪЕДИНЕННЫЙ ПРОФКОМ ЗАО ЛУКОЙЛ-ПЕРМЬ</v>
          </cell>
        </row>
        <row r="1468">
          <cell r="C1468" t="str">
            <v>ОБЬЕД.ПРОФКОМ ПЕРМСКОЙ ГРЭС</v>
          </cell>
        </row>
        <row r="1469">
          <cell r="C1469" t="str">
            <v>ОВД Г.ДОБРЯНКИ</v>
          </cell>
        </row>
        <row r="1470">
          <cell r="C1470" t="str">
            <v>ОВД ГУОМ</v>
          </cell>
        </row>
        <row r="1471">
          <cell r="C1471" t="str">
            <v>ОВО ПРИ ДОБРЯНСКОМ ГОВД</v>
          </cell>
        </row>
        <row r="1472">
          <cell r="C1472" t="str">
            <v>ОВО ПРИ ОВД</v>
          </cell>
        </row>
        <row r="1473">
          <cell r="C1473" t="str">
            <v>ОВО ПРИ ОВД</v>
          </cell>
        </row>
        <row r="1474">
          <cell r="C1474" t="str">
            <v>ОВСЯННИКОВ В.С.</v>
          </cell>
        </row>
        <row r="1475">
          <cell r="C1475" t="str">
            <v>ОВСЯННИКОВ В.С.</v>
          </cell>
        </row>
        <row r="1476">
          <cell r="C1476" t="str">
            <v>ОВЧИННИКОВА Н.И.</v>
          </cell>
        </row>
        <row r="1477">
          <cell r="C1477" t="str">
            <v>ОВЧИННИКОВА Н.И.</v>
          </cell>
        </row>
        <row r="1478">
          <cell r="C1478" t="str">
            <v>ОВЧИННИКОВА Н.И.ПРОДУКТЫ</v>
          </cell>
        </row>
        <row r="1479">
          <cell r="C1479" t="str">
            <v>ОГПС-4</v>
          </cell>
        </row>
        <row r="1480">
          <cell r="C1480" t="str">
            <v>ОГПС-4</v>
          </cell>
        </row>
        <row r="1481">
          <cell r="C1481" t="str">
            <v>ОГПС-4</v>
          </cell>
        </row>
        <row r="1482">
          <cell r="C1482" t="str">
            <v>ОДУ ЗАВОД МАШИНОСТРОИТЕЛЬ</v>
          </cell>
        </row>
        <row r="1483">
          <cell r="C1483" t="str">
            <v>ОЗЕРОВ В.Л.</v>
          </cell>
        </row>
        <row r="1484">
          <cell r="C1484" t="str">
            <v>ОКБ МАЯК ПГУ</v>
          </cell>
        </row>
        <row r="1485">
          <cell r="C1485" t="str">
            <v>ОКС НГДУ "ПОЛАЗНАНЕФТЬ"</v>
          </cell>
        </row>
        <row r="1486">
          <cell r="C1486" t="str">
            <v>ОКС НГДУ ПОЛАЗНАНЕФТЬ</v>
          </cell>
        </row>
        <row r="1487">
          <cell r="C1487" t="str">
            <v>ОКС НГДУ ПОЛАЗНАНЕФТЬ</v>
          </cell>
        </row>
        <row r="1488">
          <cell r="C1488" t="str">
            <v>ОКТЯБРЬСКИЙ З-Д АВТОМАТ.ОБОР.И ПРИБ</v>
          </cell>
        </row>
        <row r="1489">
          <cell r="C1489" t="str">
            <v>ОЛОВЯННЫЙ КОМБИНАТ</v>
          </cell>
        </row>
        <row r="1490">
          <cell r="C1490" t="str">
            <v>ОМЗ СТ. ПАЛЬНИКИ</v>
          </cell>
        </row>
        <row r="1491">
          <cell r="C1491" t="str">
            <v>ОМЗ СТ.ПАЛЬНИКИ</v>
          </cell>
        </row>
        <row r="1492">
          <cell r="C1492" t="str">
            <v>ОМСКИЙ ОПЫТНЫЙ ЗАВОД ЭТАЛОН г.ОМСК</v>
          </cell>
        </row>
        <row r="1493">
          <cell r="C1493" t="str">
            <v>ОМТС БУРАКОВ В.А.</v>
          </cell>
        </row>
        <row r="1494">
          <cell r="C1494" t="str">
            <v>ОМТС ДЕВЯТОВ Р.Н.</v>
          </cell>
        </row>
        <row r="1495">
          <cell r="C1495" t="str">
            <v>ОМТС ЕЛСУКОВ Н.А.</v>
          </cell>
        </row>
        <row r="1496">
          <cell r="C1496" t="str">
            <v>ОМТС МЕХАНОШИНА Л.Е.</v>
          </cell>
        </row>
        <row r="1497">
          <cell r="C1497" t="str">
            <v>ОМТС САЛАХОВ Р.Х.</v>
          </cell>
        </row>
        <row r="1498">
          <cell r="C1498" t="str">
            <v>ОМТС ТАШКИНОВ И.П.</v>
          </cell>
        </row>
        <row r="1499">
          <cell r="C1499" t="str">
            <v>ОМТС ЧЕРКАСОВ А.Д.</v>
          </cell>
        </row>
        <row r="1500">
          <cell r="C1500" t="str">
            <v>ОМТСиКО</v>
          </cell>
        </row>
        <row r="1501">
          <cell r="C1501" t="str">
            <v>ОМТСиКО                   за баланс</v>
          </cell>
        </row>
        <row r="1502">
          <cell r="C1502" t="str">
            <v>ОО АССОЦИАЦИЯ ГИРУДОТЕРАПЕВТОВ УРАЛА</v>
          </cell>
        </row>
        <row r="1503">
          <cell r="C1503" t="str">
            <v>ОО С/П ТИТАН</v>
          </cell>
        </row>
        <row r="1504">
          <cell r="C1504" t="str">
            <v>ООО "Р.М.ВЕКТОР"</v>
          </cell>
        </row>
        <row r="1505">
          <cell r="C1505" t="str">
            <v>ООО АВТОРЕМОНТ</v>
          </cell>
        </row>
        <row r="1506">
          <cell r="C1506" t="str">
            <v>ООО АГАТА-ЛТД</v>
          </cell>
        </row>
        <row r="1507">
          <cell r="C1507" t="str">
            <v>ООО АГЕНСТВО ПАРИТЕТ</v>
          </cell>
        </row>
        <row r="1508">
          <cell r="C1508" t="str">
            <v>ООО АЙДВА</v>
          </cell>
        </row>
        <row r="1509">
          <cell r="C1509" t="str">
            <v>ООО АЛМАЗ</v>
          </cell>
        </row>
        <row r="1510">
          <cell r="C1510" t="str">
            <v>ООО АЛМАЗ</v>
          </cell>
        </row>
        <row r="1511">
          <cell r="C1511" t="str">
            <v>ООО АМОР-1</v>
          </cell>
        </row>
        <row r="1512">
          <cell r="C1512" t="str">
            <v>ООО АНГОЛ</v>
          </cell>
        </row>
        <row r="1513">
          <cell r="C1513" t="str">
            <v>ООО АНДА-СЕРВИС</v>
          </cell>
        </row>
        <row r="1514">
          <cell r="C1514" t="str">
            <v>ООО АПЗУ(АССОЦИАЦ.ПРЕДПР.ЗАП.УРАЛА)</v>
          </cell>
        </row>
        <row r="1515">
          <cell r="C1515" t="str">
            <v>ООО АПС АСТРУМ</v>
          </cell>
        </row>
        <row r="1516">
          <cell r="C1516" t="str">
            <v>ООО АРАКС</v>
          </cell>
        </row>
        <row r="1517">
          <cell r="C1517" t="str">
            <v>ООО АРАКС</v>
          </cell>
        </row>
        <row r="1518">
          <cell r="C1518" t="str">
            <v>ООО АРКТУР-СЕРВИС ПЕРМСКОЕ ПРЕДСТАВИТЕЛЬСТВО</v>
          </cell>
        </row>
        <row r="1519">
          <cell r="C1519" t="str">
            <v>ООО АСТРОН-КОМФОРТ</v>
          </cell>
        </row>
        <row r="1520">
          <cell r="C1520" t="str">
            <v>ООО БАШРЕМСТРОЙ</v>
          </cell>
        </row>
        <row r="1521">
          <cell r="C1521" t="str">
            <v>ООО БЕРКУТ Г.ИЖЕВСК</v>
          </cell>
        </row>
        <row r="1522">
          <cell r="C1522" t="str">
            <v>ООО БИКУС</v>
          </cell>
        </row>
        <row r="1523">
          <cell r="C1523" t="str">
            <v>ООО БОНУС</v>
          </cell>
        </row>
        <row r="1524">
          <cell r="C1524" t="str">
            <v>ООО ВЕКТОР-2С</v>
          </cell>
        </row>
        <row r="1525">
          <cell r="C1525" t="str">
            <v>ООО ВЕНТА-2</v>
          </cell>
        </row>
        <row r="1526">
          <cell r="C1526" t="str">
            <v>ООО ВЕНТСАНТЕХМОНТАЖ</v>
          </cell>
        </row>
        <row r="1527">
          <cell r="C1527" t="str">
            <v>ООО ВИКО ПЛЮС</v>
          </cell>
        </row>
        <row r="1528">
          <cell r="C1528" t="str">
            <v>ООО ВИКО-ТРЭЙД ФИЛИАЛ КАНОН-ПЕРМЬ</v>
          </cell>
        </row>
        <row r="1529">
          <cell r="C1529" t="str">
            <v>ООО ВИЛС</v>
          </cell>
        </row>
        <row r="1530">
          <cell r="C1530" t="str">
            <v>ООО ГАЛИНА г.КАЗАНЬ</v>
          </cell>
        </row>
        <row r="1531">
          <cell r="C1531" t="str">
            <v>ООО ГЕРМЕС ЛТД</v>
          </cell>
        </row>
        <row r="1532">
          <cell r="C1532" t="str">
            <v>ООО ГИПСОПОЛИМЕР-МАРКЕТИНГ</v>
          </cell>
        </row>
        <row r="1533">
          <cell r="C1533" t="str">
            <v>ООО ГОРНЫЙ ХРУСТАЛЬ</v>
          </cell>
        </row>
        <row r="1534">
          <cell r="C1534" t="str">
            <v>ООО ГОРНЫЙ ХРУСТАЛЬ</v>
          </cell>
        </row>
        <row r="1535">
          <cell r="C1535" t="str">
            <v>ООО ГРЭЙ</v>
          </cell>
        </row>
        <row r="1536">
          <cell r="C1536" t="str">
            <v>ООО ДЕЛЛСИСТЕМС СНГ</v>
          </cell>
        </row>
        <row r="1537">
          <cell r="C1537" t="str">
            <v>ООО ДИМАС</v>
          </cell>
        </row>
        <row r="1538">
          <cell r="C1538" t="str">
            <v>ООО ДИПАР</v>
          </cell>
        </row>
        <row r="1539">
          <cell r="C1539" t="str">
            <v>ООО ДКВ</v>
          </cell>
        </row>
        <row r="1540">
          <cell r="C1540" t="str">
            <v>ООО ДОКТОР ЭКС</v>
          </cell>
        </row>
        <row r="1541">
          <cell r="C1541" t="str">
            <v>ООО ЕВРОДИЗАЙН-200 ПЕРМСКОЕ ОТДЕЛЕН</v>
          </cell>
        </row>
        <row r="1542">
          <cell r="C1542" t="str">
            <v>ООО ЕВРОТЕХ</v>
          </cell>
        </row>
        <row r="1543">
          <cell r="C1543" t="str">
            <v>ООО ЕРМАК-96</v>
          </cell>
        </row>
        <row r="1544">
          <cell r="C1544" t="str">
            <v>ООО ИГРУШКИ</v>
          </cell>
        </row>
        <row r="1545">
          <cell r="C1545" t="str">
            <v>ООО ИКЦ ТРИК</v>
          </cell>
        </row>
        <row r="1546">
          <cell r="C1546" t="str">
            <v>ООО ИНТЕЛЕКТ СЕРВИС ПЛЮС</v>
          </cell>
        </row>
        <row r="1547">
          <cell r="C1547" t="str">
            <v>ООО ИНТЕНСИФИКАЦИЯ</v>
          </cell>
        </row>
        <row r="1548">
          <cell r="C1548" t="str">
            <v>ООО ИНТЕРСЕРВИС</v>
          </cell>
        </row>
        <row r="1549">
          <cell r="C1549" t="str">
            <v>ООО ИПК ФОРПОСТ</v>
          </cell>
        </row>
        <row r="1550">
          <cell r="C1550" t="str">
            <v>ООО ИПФ ЭТИС</v>
          </cell>
        </row>
        <row r="1551">
          <cell r="C1551" t="str">
            <v>ООО КАЙРОС 92</v>
          </cell>
        </row>
        <row r="1552">
          <cell r="C1552" t="str">
            <v>ООО КАМА-НЕФТЬ</v>
          </cell>
        </row>
        <row r="1553">
          <cell r="C1553" t="str">
            <v>ООО КАМА-НЕФТЬ</v>
          </cell>
        </row>
        <row r="1554">
          <cell r="C1554" t="str">
            <v>ООО КАМА-НЕФТЬ</v>
          </cell>
        </row>
        <row r="1555">
          <cell r="C1555" t="str">
            <v>ООО КАРАВАН ЛТД</v>
          </cell>
        </row>
        <row r="1556">
          <cell r="C1556" t="str">
            <v>ООО КВАДРА ЛТД</v>
          </cell>
        </row>
        <row r="1557">
          <cell r="C1557" t="str">
            <v>ООО КОМПАНИЯ ПЕРМЬ-ИНТЕРЬЕР</v>
          </cell>
        </row>
        <row r="1558">
          <cell r="C1558" t="str">
            <v>ООО КОМПАНИЯ ПЕРМЬ-ИНТЕРЬЕР</v>
          </cell>
        </row>
        <row r="1559">
          <cell r="C1559" t="str">
            <v>ООО КОМПАНИЯ ТСТ</v>
          </cell>
        </row>
        <row r="1560">
          <cell r="C1560" t="str">
            <v>ООО КОМПАНИЯ ТСТ</v>
          </cell>
        </row>
        <row r="1561">
          <cell r="C1561" t="str">
            <v>ООО КОМСЕРВИС г.ПЕРМЬ</v>
          </cell>
        </row>
        <row r="1562">
          <cell r="C1562" t="str">
            <v>ООО КП-ТК АВТОМОБИЛИ</v>
          </cell>
        </row>
        <row r="1563">
          <cell r="C1563" t="str">
            <v>ООО КСЕНА ЛТД</v>
          </cell>
        </row>
        <row r="1564">
          <cell r="C1564" t="str">
            <v>ООО ЛААЛЬ</v>
          </cell>
        </row>
        <row r="1565">
          <cell r="C1565" t="str">
            <v>ООО ЛИЗИНГ СЕРВИС</v>
          </cell>
        </row>
        <row r="1566">
          <cell r="C1566" t="str">
            <v>ООО ЛИОНЕЛЛ Лтд</v>
          </cell>
        </row>
        <row r="1567">
          <cell r="C1567" t="str">
            <v>ООО ЛИТА</v>
          </cell>
        </row>
        <row r="1568">
          <cell r="C1568" t="str">
            <v>ООО ЛУКОЙЛ ПНОС</v>
          </cell>
        </row>
        <row r="1569">
          <cell r="C1569" t="str">
            <v>ООО ЛУКОЙЛ-ПНОС</v>
          </cell>
        </row>
        <row r="1570">
          <cell r="C1570" t="str">
            <v>ООО ЛУКОЙЛ-ПНОС</v>
          </cell>
        </row>
        <row r="1571">
          <cell r="C1571" t="str">
            <v>ООО ЛЮМЕКС-МАРКЕТИНГ</v>
          </cell>
        </row>
        <row r="1572">
          <cell r="C1572" t="str">
            <v>ООО МАСТЕР М</v>
          </cell>
        </row>
        <row r="1573">
          <cell r="C1573" t="str">
            <v>ООО МАТИС-М</v>
          </cell>
        </row>
        <row r="1574">
          <cell r="C1574" t="str">
            <v>ООО МЕТАЛЛОМОНТАЖ</v>
          </cell>
        </row>
        <row r="1575">
          <cell r="C1575" t="str">
            <v>ООО МЕТАХИМ</v>
          </cell>
        </row>
        <row r="1576">
          <cell r="C1576" t="str">
            <v>ООО НАБУКАС П</v>
          </cell>
        </row>
        <row r="1577">
          <cell r="C1577" t="str">
            <v>ООО НЕВОД</v>
          </cell>
        </row>
        <row r="1578">
          <cell r="C1578" t="str">
            <v>ООО НЕФТО</v>
          </cell>
        </row>
        <row r="1579">
          <cell r="C1579" t="str">
            <v>ООО НЕФТЬКОМ</v>
          </cell>
        </row>
        <row r="1580">
          <cell r="C1580" t="str">
            <v>ООО НИКойл</v>
          </cell>
        </row>
        <row r="1581">
          <cell r="C1581" t="str">
            <v>ООО НПП АТЛАС</v>
          </cell>
        </row>
        <row r="1582">
          <cell r="C1582" t="str">
            <v>ООО НПП КВАНТ-1</v>
          </cell>
        </row>
        <row r="1583">
          <cell r="C1583" t="str">
            <v>ООО НПФ ГЕОМАР</v>
          </cell>
        </row>
        <row r="1584">
          <cell r="C1584" t="str">
            <v>ООО НПФ ГЕОМАР</v>
          </cell>
        </row>
        <row r="1585">
          <cell r="C1585" t="str">
            <v>ООО НПФ ИДЖАТ ЛТД</v>
          </cell>
        </row>
        <row r="1586">
          <cell r="C1586" t="str">
            <v>ООО НПФ ИДЖАТ ЛТД</v>
          </cell>
        </row>
        <row r="1587">
          <cell r="C1587" t="str">
            <v>ООО НПФ ПАКЕР</v>
          </cell>
        </row>
        <row r="1588">
          <cell r="C1588" t="str">
            <v>ООО НПФ ЭКОПОЛИМЕР</v>
          </cell>
        </row>
        <row r="1589">
          <cell r="C1589" t="str">
            <v>ООО НПЦ ЗАЩИТА</v>
          </cell>
        </row>
        <row r="1590">
          <cell r="C1590" t="str">
            <v>ООО ОКТА</v>
          </cell>
        </row>
        <row r="1591">
          <cell r="C1591" t="str">
            <v>ООО ОМИГО ЛТД</v>
          </cell>
        </row>
        <row r="1592">
          <cell r="C1592" t="str">
            <v>ООО ОПТИМА-М</v>
          </cell>
        </row>
        <row r="1593">
          <cell r="C1593" t="str">
            <v>ООО ОПТИМУТ-ИНФО</v>
          </cell>
        </row>
        <row r="1594">
          <cell r="C1594" t="str">
            <v>ООО ПАПИР</v>
          </cell>
        </row>
        <row r="1595">
          <cell r="C1595" t="str">
            <v>ООО ПЕРГАМ</v>
          </cell>
        </row>
        <row r="1596">
          <cell r="C1596" t="str">
            <v>ООО ПЕРМНЕФТЕСНАБ</v>
          </cell>
        </row>
        <row r="1597">
          <cell r="C1597" t="str">
            <v>ООО ПЕРМойл</v>
          </cell>
        </row>
        <row r="1598">
          <cell r="C1598" t="str">
            <v>ООО ПЕРМСТРОЙИНВЕСТ-ТРЕЙД</v>
          </cell>
        </row>
        <row r="1599">
          <cell r="C1599" t="str">
            <v>ООО ПЕРМТЕХСЕРВИС</v>
          </cell>
        </row>
        <row r="1600">
          <cell r="C1600" t="str">
            <v>ООО ПЕРМТОРГСЕРВИС</v>
          </cell>
        </row>
        <row r="1601">
          <cell r="C1601" t="str">
            <v>ООО ПЕРМТОРГСЕРВИС</v>
          </cell>
        </row>
        <row r="1602">
          <cell r="C1602" t="str">
            <v>ООО ПЕРМТОРГСЕРВИС</v>
          </cell>
        </row>
        <row r="1603">
          <cell r="C1603" t="str">
            <v>ООО ПЕРМЬ-ВОСТОК-СЕРВИС</v>
          </cell>
        </row>
        <row r="1604">
          <cell r="C1604" t="str">
            <v>ООО ПЕРМЬТЕКС</v>
          </cell>
        </row>
        <row r="1605">
          <cell r="C1605" t="str">
            <v>ООО ПЕРМЬТЕКС</v>
          </cell>
        </row>
        <row r="1606">
          <cell r="C1606" t="str">
            <v>ООО ПЕРМЬТЕКС</v>
          </cell>
        </row>
        <row r="1607">
          <cell r="C1607" t="str">
            <v>ООО ПИК МОТОВИЛИХА</v>
          </cell>
        </row>
        <row r="1608">
          <cell r="C1608" t="str">
            <v>ООО ПИКО</v>
          </cell>
        </row>
        <row r="1609">
          <cell r="C1609" t="str">
            <v>ООО ПИЩЕВИК</v>
          </cell>
        </row>
        <row r="1610">
          <cell r="C1610" t="str">
            <v>ООО ПИЩЕВИК</v>
          </cell>
        </row>
        <row r="1611">
          <cell r="C1611" t="str">
            <v>ООО ПИЩЕВИК</v>
          </cell>
        </row>
        <row r="1612">
          <cell r="C1612" t="str">
            <v>ООО ПКП ПРИВОД-ТРЕЙД</v>
          </cell>
        </row>
        <row r="1613">
          <cell r="C1613" t="str">
            <v>ООО ПКФ АГЕНТСТВО ЗВЕЗДА</v>
          </cell>
        </row>
        <row r="1614">
          <cell r="C1614" t="str">
            <v>ООО ПКФ АГЕНТСТВО ЗВЕЗДА</v>
          </cell>
        </row>
        <row r="1615">
          <cell r="C1615" t="str">
            <v>ООО ПКФ ВЕТЛЯНА</v>
          </cell>
        </row>
        <row r="1616">
          <cell r="C1616" t="str">
            <v>ООО ПКФ ГРАНАТ-С</v>
          </cell>
        </row>
        <row r="1617">
          <cell r="C1617" t="str">
            <v>ООО ПКФ ПЕРМЭНЕРГОСНАБ</v>
          </cell>
        </row>
        <row r="1618">
          <cell r="C1618" t="str">
            <v>ООО ПКФ САДКО</v>
          </cell>
        </row>
        <row r="1619">
          <cell r="C1619" t="str">
            <v>ООО ПКФ ЯН</v>
          </cell>
        </row>
        <row r="1620">
          <cell r="C1620" t="str">
            <v>ООО ПОЛИКОМ-СЕРВИС</v>
          </cell>
        </row>
        <row r="1621">
          <cell r="C1621" t="str">
            <v>ООО ПОЛИНОМ</v>
          </cell>
        </row>
        <row r="1622">
          <cell r="C1622" t="str">
            <v>ООО ПРАС ЛТД</v>
          </cell>
        </row>
        <row r="1623">
          <cell r="C1623" t="str">
            <v>ООО ПРЕДПРИЯТИЕ FXC ПНГ</v>
          </cell>
        </row>
        <row r="1624">
          <cell r="C1624" t="str">
            <v>ООО ПРЕДПРИЯТИЕ FXC-ПНГ</v>
          </cell>
        </row>
        <row r="1625">
          <cell r="C1625" t="str">
            <v>ООО ПРЕДПРИЯТИЕ FXC-ПНГ</v>
          </cell>
        </row>
        <row r="1626">
          <cell r="C1626" t="str">
            <v>ООО ПРИБОРОСТРОИТ.ПРЕДПР-Я ПОВОЛЖЬЯ</v>
          </cell>
        </row>
        <row r="1627">
          <cell r="C1627" t="str">
            <v>ООО ПРОММАРКЕТ</v>
          </cell>
        </row>
        <row r="1628">
          <cell r="C1628" t="str">
            <v>ООО ПРОММАШСЕРВИС</v>
          </cell>
        </row>
        <row r="1629">
          <cell r="C1629" t="str">
            <v>ООО ПРОМСЕРВИС</v>
          </cell>
        </row>
        <row r="1630">
          <cell r="C1630" t="str">
            <v>ООО ПРОМЭНЕРГОМОНТАЖ</v>
          </cell>
        </row>
        <row r="1631">
          <cell r="C1631" t="str">
            <v>ООО ПСФ ГРЕМС</v>
          </cell>
        </row>
        <row r="1632">
          <cell r="C1632" t="str">
            <v>ООО Р И Л ИМПЕКС-ПЕРМЬ</v>
          </cell>
        </row>
        <row r="1633">
          <cell r="C1633" t="str">
            <v>ООО РА ЧЕТЫРЕ ЧЕТВЕРТИ</v>
          </cell>
        </row>
        <row r="1634">
          <cell r="C1634" t="str">
            <v>ООО РА ЧЕТЫРЕ ЧЕТВЕРТИ</v>
          </cell>
        </row>
        <row r="1635">
          <cell r="C1635" t="str">
            <v>ООО РАР</v>
          </cell>
        </row>
        <row r="1636">
          <cell r="C1636" t="str">
            <v>ООО РЕГАРД-СОФТ</v>
          </cell>
        </row>
        <row r="1637">
          <cell r="C1637" t="str">
            <v>ООО РЕГАРД-СОФТ                                  +</v>
          </cell>
        </row>
        <row r="1638">
          <cell r="C1638" t="str">
            <v>ООО РЕГИСТР ИНТАРКО</v>
          </cell>
        </row>
        <row r="1639">
          <cell r="C1639" t="str">
            <v>ООО РЕЙ-КАМ</v>
          </cell>
        </row>
        <row r="1640">
          <cell r="C1640" t="str">
            <v>ООО РЕМСТРОЙ</v>
          </cell>
        </row>
        <row r="1641">
          <cell r="C1641" t="str">
            <v>ООО РЕМСТРОЙ</v>
          </cell>
        </row>
        <row r="1642">
          <cell r="C1642" t="str">
            <v>ООО РОНИКС</v>
          </cell>
        </row>
        <row r="1643">
          <cell r="C1643" t="str">
            <v>ООО РОНИКС</v>
          </cell>
        </row>
        <row r="1644">
          <cell r="C1644" t="str">
            <v>ООО РОСШИНА-ИНВЕСТ</v>
          </cell>
        </row>
        <row r="1645">
          <cell r="C1645" t="str">
            <v>ООО РУЦ ЭНЕРГЕТИК</v>
          </cell>
        </row>
        <row r="1646">
          <cell r="C1646" t="str">
            <v>ООО РЭЙД-КВАДРАТ</v>
          </cell>
        </row>
        <row r="1647">
          <cell r="C1647" t="str">
            <v>ООО СВИТ</v>
          </cell>
        </row>
        <row r="1648">
          <cell r="C1648" t="str">
            <v>ООО СЕЛЬХОЗМОНТАЖ</v>
          </cell>
        </row>
        <row r="1649">
          <cell r="C1649" t="str">
            <v>ООО СИНЕРГИЯ-Н</v>
          </cell>
        </row>
        <row r="1650">
          <cell r="C1650" t="str">
            <v>ООО СИНЕРГИЯ-Н</v>
          </cell>
        </row>
        <row r="1651">
          <cell r="C1651" t="str">
            <v>ООО СКАТ-СЕРВИС</v>
          </cell>
        </row>
        <row r="1652">
          <cell r="C1652" t="str">
            <v>ООО СМУ-5 СПЕЦСТРОЙ</v>
          </cell>
        </row>
        <row r="1653">
          <cell r="C1653" t="str">
            <v>ООО СМУ-5 СПЕЦСТРОЙ</v>
          </cell>
        </row>
        <row r="1654">
          <cell r="C1654" t="str">
            <v>ООО СОЛМИ</v>
          </cell>
        </row>
        <row r="1655">
          <cell r="C1655" t="str">
            <v>ООО СОФТСЕРВИС-ГРУП</v>
          </cell>
        </row>
        <row r="1656">
          <cell r="C1656" t="str">
            <v>ООО СП КАТКОНЕФТЬ</v>
          </cell>
        </row>
        <row r="1657">
          <cell r="C1657" t="str">
            <v>ООО СП КАТКОНЕФТЬ</v>
          </cell>
        </row>
        <row r="1658">
          <cell r="C1658" t="str">
            <v>ООО СПЕКТР</v>
          </cell>
        </row>
        <row r="1659">
          <cell r="C1659" t="str">
            <v>ООО СПЕКТР</v>
          </cell>
        </row>
        <row r="1660">
          <cell r="C1660" t="str">
            <v>ООО СТАНКОРОС</v>
          </cell>
        </row>
        <row r="1661">
          <cell r="C1661" t="str">
            <v>ООО СТРОИТЕЛЬНАЯ КОМПАНИЯ МЕГАРОН</v>
          </cell>
        </row>
        <row r="1662">
          <cell r="C1662" t="str">
            <v>ООО СТРОЙ-АРС</v>
          </cell>
        </row>
        <row r="1663">
          <cell r="C1663" t="str">
            <v>ООО СТРОЙПЛАСТ</v>
          </cell>
        </row>
        <row r="1664">
          <cell r="C1664" t="str">
            <v>ООО СТРОЙТЕХМОНТАЖ</v>
          </cell>
        </row>
        <row r="1665">
          <cell r="C1665" t="str">
            <v>ООО СТРОЙТЕХСЕРВИС</v>
          </cell>
        </row>
        <row r="1666">
          <cell r="C1666" t="str">
            <v>ООО ТАЗМЕРСКОЕ</v>
          </cell>
        </row>
        <row r="1667">
          <cell r="C1667" t="str">
            <v>ООО ТАЗМЕРСКОЕ</v>
          </cell>
        </row>
        <row r="1668">
          <cell r="C1668" t="str">
            <v>ООО ТД АСТРОН</v>
          </cell>
        </row>
        <row r="1669">
          <cell r="C1669" t="str">
            <v>ООО ТЕГЕТ</v>
          </cell>
        </row>
        <row r="1670">
          <cell r="C1670" t="str">
            <v>ООО ТЕЛЕРАДИОКОМПАНИЯ ДОБРЯНКА</v>
          </cell>
        </row>
        <row r="1671">
          <cell r="C1671" t="str">
            <v>ООО ТЕХНО</v>
          </cell>
        </row>
        <row r="1672">
          <cell r="C1672" t="str">
            <v>ООО ТЕХНОТОРГ</v>
          </cell>
        </row>
        <row r="1673">
          <cell r="C1673" t="str">
            <v>ООО ТЕХСТРОЙСЕРВИС</v>
          </cell>
        </row>
        <row r="1674">
          <cell r="C1674" t="str">
            <v>ООО ТНВПО СИАМ</v>
          </cell>
        </row>
        <row r="1675">
          <cell r="C1675" t="str">
            <v>ООО ТОРГОВАЯ КОМПАНИЯ ВЛАД</v>
          </cell>
        </row>
        <row r="1676">
          <cell r="C1676" t="str">
            <v>ООО ТОРГОВЫЙ ДОМ БЕРЖЕ</v>
          </cell>
        </row>
        <row r="1677">
          <cell r="C1677" t="str">
            <v>ООО ТОРГОВЫЙ ДОМ НЕФТЕАВТОМАТКА</v>
          </cell>
        </row>
        <row r="1678">
          <cell r="C1678" t="str">
            <v>ООО ТРИТОЛ</v>
          </cell>
        </row>
        <row r="1679">
          <cell r="C1679" t="str">
            <v>ООО У ЛУКОМОРЬЯ</v>
          </cell>
        </row>
        <row r="1680">
          <cell r="C1680" t="str">
            <v>ООО УНИВЕРСАЛЬНО-ТОРГОВАЯ БАЗА</v>
          </cell>
        </row>
        <row r="1681">
          <cell r="C1681" t="str">
            <v>ООО УНИВЕРСАЛЬНЫЙ ТОРГОВЫЙ ДОМ</v>
          </cell>
        </row>
        <row r="1682">
          <cell r="C1682" t="str">
            <v>ООО УНИВЕРСАЛЬНЫЙ ТОРГОВЫЙ ДОМ</v>
          </cell>
        </row>
        <row r="1683">
          <cell r="C1683" t="str">
            <v>ООО УНИВЕРСАЛЬНЫЙ ТОРГОВЫЙ ДОМ</v>
          </cell>
        </row>
        <row r="1684">
          <cell r="C1684" t="str">
            <v>ООО УРАЛ БИЗНЕС</v>
          </cell>
        </row>
        <row r="1685">
          <cell r="C1685" t="str">
            <v>ООО УРАЛБУМАГА</v>
          </cell>
        </row>
        <row r="1686">
          <cell r="C1686" t="str">
            <v>ООО УРАЛ-ВЕСТ-СТРОЙ</v>
          </cell>
        </row>
        <row r="1687">
          <cell r="C1687" t="str">
            <v>ООО УРАЛ-ЗИТАР</v>
          </cell>
        </row>
        <row r="1688">
          <cell r="C1688" t="str">
            <v>ООО УРАЛКОМПЛЕКТ</v>
          </cell>
        </row>
        <row r="1689">
          <cell r="C1689" t="str">
            <v>ООО УРАЛНЕФТЬСЕРВИС</v>
          </cell>
        </row>
        <row r="1690">
          <cell r="C1690" t="str">
            <v>ООО УРАЛНЕФТЬСЕРВИС</v>
          </cell>
        </row>
        <row r="1691">
          <cell r="C1691" t="str">
            <v>ООО УРАЛПОДЪЕМСЕРВИС</v>
          </cell>
        </row>
        <row r="1692">
          <cell r="C1692" t="str">
            <v>ООО УРАЛСПЕЦСТРОЙ</v>
          </cell>
        </row>
        <row r="1693">
          <cell r="C1693" t="str">
            <v>ООО УРАЛСТРОЙСНАБ</v>
          </cell>
        </row>
        <row r="1694">
          <cell r="C1694" t="str">
            <v>ООО УРАЛЬСКИЙ КОМПЬЮТЕРНЫЙ ДОМ/М/</v>
          </cell>
        </row>
        <row r="1695">
          <cell r="C1695" t="str">
            <v>ООО УРАЛЬСКИЙ КОМПЬЮТЕРНЫЙ ДОМ/П/</v>
          </cell>
        </row>
        <row r="1696">
          <cell r="C1696" t="str">
            <v>ООО УРАЛЬСКИЙ КОМПЬЮТЕРНЫЙ ДОМ/П/</v>
          </cell>
        </row>
        <row r="1697">
          <cell r="C1697" t="str">
            <v>ООО УРАЛЬСКИЙ КОМПЬЮТЕРНЫЙ ДОМ-С</v>
          </cell>
        </row>
        <row r="1698">
          <cell r="C1698" t="str">
            <v>ООО УЧЕБНО-КОНС.ЦЕНТР ОХРАНА ТРУДА</v>
          </cell>
        </row>
        <row r="1699">
          <cell r="C1699" t="str">
            <v>ООО ФАРТ</v>
          </cell>
        </row>
        <row r="1700">
          <cell r="C1700" t="str">
            <v>ООО ФИРМА АВИАРЕМКОМПЛЕКТ</v>
          </cell>
        </row>
        <row r="1701">
          <cell r="C1701" t="str">
            <v>ООО ФИРМА АЛЬЯНС-МК</v>
          </cell>
        </row>
        <row r="1702">
          <cell r="C1702" t="str">
            <v>ООО ФИРМА КАСКАД</v>
          </cell>
        </row>
        <row r="1703">
          <cell r="C1703" t="str">
            <v>ООО ФИРМА ПОЛЮС КС</v>
          </cell>
        </row>
        <row r="1704">
          <cell r="C1704" t="str">
            <v>ООО ФИРМА ТАМИК</v>
          </cell>
        </row>
        <row r="1705">
          <cell r="C1705" t="str">
            <v>ООО ФИРМА ТИП-ТОП</v>
          </cell>
        </row>
        <row r="1706">
          <cell r="C1706" t="str">
            <v>ООО ФИРМА УРАН</v>
          </cell>
        </row>
        <row r="1707">
          <cell r="C1707" t="str">
            <v>ООО ФИРМА ФОРПОСТ</v>
          </cell>
        </row>
        <row r="1708">
          <cell r="C1708" t="str">
            <v>ООО ХИМЭКС-ЭКО</v>
          </cell>
        </row>
        <row r="1709">
          <cell r="C1709" t="str">
            <v>ООО ЦЕНТР ДИАГНОСТИКИ И ЭКСПЕРТИЗЫ</v>
          </cell>
        </row>
        <row r="1710">
          <cell r="C1710" t="str">
            <v>ООО ЧЗЭМ-КОМПЛЕКТ</v>
          </cell>
        </row>
        <row r="1711">
          <cell r="C1711" t="str">
            <v>ООО ЧОП ПЕРМСКАЯ СЛУЖБА БЕЗОПАСНОСТИ</v>
          </cell>
        </row>
        <row r="1712">
          <cell r="C1712" t="str">
            <v>ООО ЧОП ПЕРМСКАЯ СЛУЖБА БЕЗОПАСТНОСТИ</v>
          </cell>
        </row>
        <row r="1713">
          <cell r="C1713" t="str">
            <v>ООО ЭКО АЛЬЯНС</v>
          </cell>
        </row>
        <row r="1714">
          <cell r="C1714" t="str">
            <v>ООО ЭКОПОЛИМЕР</v>
          </cell>
        </row>
        <row r="1715">
          <cell r="C1715" t="str">
            <v>ООО ЭКОПРОМ</v>
          </cell>
        </row>
        <row r="1716">
          <cell r="C1716" t="str">
            <v>ООО ЭКС АВТО</v>
          </cell>
        </row>
        <row r="1717">
          <cell r="C1717" t="str">
            <v>ООО ЭКС ОПТ</v>
          </cell>
        </row>
        <row r="1718">
          <cell r="C1718" t="str">
            <v>ООО ЭКТ</v>
          </cell>
        </row>
        <row r="1719">
          <cell r="C1719" t="str">
            <v>ООО ЭЛЕКС-ПЕРМЬ</v>
          </cell>
        </row>
        <row r="1720">
          <cell r="C1720" t="str">
            <v>ООО ЭЛЕКТРОНИКА</v>
          </cell>
        </row>
        <row r="1721">
          <cell r="C1721" t="str">
            <v>ООО ЭЛЕКТРОННАЯ ТЕХНИКА</v>
          </cell>
        </row>
        <row r="1722">
          <cell r="C1722" t="str">
            <v>ООО ЭМЗ-СЕРВИС</v>
          </cell>
        </row>
        <row r="1723">
          <cell r="C1723" t="str">
            <v>ООО ЭНЕРГИЯ</v>
          </cell>
        </row>
        <row r="1724">
          <cell r="C1724" t="str">
            <v>ООО ЭПИГОН</v>
          </cell>
        </row>
        <row r="1725">
          <cell r="C1725" t="str">
            <v>ООО ЭПИГОН</v>
          </cell>
        </row>
        <row r="1726">
          <cell r="C1726" t="str">
            <v>ООТ АСТРОН-КОИ</v>
          </cell>
        </row>
        <row r="1727">
          <cell r="C1727" t="str">
            <v>ОПЛЕТИН А.А.</v>
          </cell>
        </row>
        <row r="1728">
          <cell r="C1728" t="str">
            <v>ОПНТОМР</v>
          </cell>
        </row>
        <row r="1729">
          <cell r="C1729" t="str">
            <v>ОПО-1</v>
          </cell>
        </row>
        <row r="1730">
          <cell r="C1730" t="str">
            <v>ОПФ КОМПЛЕКТАВТОМАТИКА</v>
          </cell>
        </row>
        <row r="1731">
          <cell r="C1731" t="str">
            <v>ОРГРЭС</v>
          </cell>
        </row>
        <row r="1732">
          <cell r="C1732" t="str">
            <v>ОРЛОВСКИЙ ЗАВОД ДОРМАШ</v>
          </cell>
        </row>
        <row r="1733">
          <cell r="C1733" t="str">
            <v>ОРС ПО РАСЧЕТАМ С Д/САДАМИ</v>
          </cell>
        </row>
        <row r="1734">
          <cell r="C1734" t="str">
            <v>ОРС ПО РАСЧЕТАМ С Д/САДАМИ</v>
          </cell>
        </row>
        <row r="1735">
          <cell r="C1735" t="str">
            <v>ОСВОЕНИЕ ЗЕМЕЛЬ</v>
          </cell>
        </row>
        <row r="1736">
          <cell r="C1736" t="str">
            <v>ОСИНСКАЯ БАЗА ОАО ПЕРМТЕХСНАБНЕФТЬ</v>
          </cell>
        </row>
        <row r="1737">
          <cell r="C1737" t="str">
            <v>ОСИНСКАЯ БАЗА ОАО ПЕРМТЕХСНАБНЕФТЬ</v>
          </cell>
        </row>
        <row r="1738">
          <cell r="C1738" t="str">
            <v>ОСИПОВ С.В.</v>
          </cell>
        </row>
        <row r="1739">
          <cell r="C1739" t="str">
            <v>ОТВ.ХРАН.АБИБУЛАЕВА</v>
          </cell>
        </row>
        <row r="1740">
          <cell r="C1740" t="str">
            <v>ОТВ.ХРАН.КУЗНЕЦОВА Л</v>
          </cell>
        </row>
        <row r="1741">
          <cell r="C1741" t="str">
            <v>ОТВ.ХРАНЕНИЕ БЕЛОГЛАЗОВА</v>
          </cell>
        </row>
        <row r="1742">
          <cell r="C1742" t="str">
            <v>ОТВ.ХРАНЕНИЕ НЕКРАСОВА В.В.</v>
          </cell>
        </row>
        <row r="1743">
          <cell r="C1743" t="str">
            <v>ОТДЕЛ КУЛЬТУРЫ</v>
          </cell>
        </row>
        <row r="1744">
          <cell r="C1744" t="str">
            <v>ОТДЕЛ СОЦ.ОБЕСПЕЧЕН.</v>
          </cell>
        </row>
        <row r="1745">
          <cell r="C1745" t="str">
            <v>ОТДЕЛЕНИЕ ФЕДЕРАЛЬНОГО КАЗНАЧЕЙСТВА</v>
          </cell>
        </row>
        <row r="1746">
          <cell r="C1746" t="str">
            <v>ОТКОРМ СВИНЕЙ</v>
          </cell>
        </row>
        <row r="1747">
          <cell r="C1747" t="str">
            <v>ОТКОРМ СВИНЕЙ             за баланс</v>
          </cell>
        </row>
        <row r="1748">
          <cell r="C1748" t="str">
            <v>ОТКОРМ ТЕЛЯТ</v>
          </cell>
        </row>
        <row r="1749">
          <cell r="C1749" t="str">
            <v>ОТКОРМ ТЕЛЯТ              за баланс</v>
          </cell>
        </row>
        <row r="1750">
          <cell r="C1750" t="str">
            <v>ОТРАСЛЕВОЕ ОТДЕЛЕНИЕ ФОНДА</v>
          </cell>
        </row>
        <row r="1751">
          <cell r="C1751" t="str">
            <v>ОХОТНИЧЕСКОЕ ОБЩЕСТВО</v>
          </cell>
        </row>
        <row r="1752">
          <cell r="C1752" t="str">
            <v>ПАЛЬНИКОВСКИЙ ПСИХО-НЕВР.ИНТЕРНАТ</v>
          </cell>
        </row>
        <row r="1753">
          <cell r="C1753" t="str">
            <v>ПАЛЬНИКОВСКИЙ ПСИХО-НЕВР.ИНТЕРНАТ</v>
          </cell>
        </row>
        <row r="1754">
          <cell r="C1754" t="str">
            <v>ПАНСИОНАТ ИМ.С.М.КИРОВА</v>
          </cell>
        </row>
        <row r="1755">
          <cell r="C1755" t="str">
            <v>ПАНСИОНАТ УРАЛЬСКОЕ РАЗДОЛЬЕ</v>
          </cell>
        </row>
        <row r="1756">
          <cell r="C1756" t="str">
            <v>ПАНЬКОВА Л.В.</v>
          </cell>
        </row>
        <row r="1757">
          <cell r="C1757" t="str">
            <v>ПАП АВТОМАТИКА</v>
          </cell>
        </row>
        <row r="1758">
          <cell r="C1758" t="str">
            <v>ПАРТИЯ-9</v>
          </cell>
        </row>
        <row r="1759">
          <cell r="C1759" t="str">
            <v>ПАРТИЯ-9</v>
          </cell>
        </row>
        <row r="1760">
          <cell r="C1760" t="str">
            <v>ПВС</v>
          </cell>
        </row>
        <row r="1761">
          <cell r="C1761" t="str">
            <v>ПВС                       за баланс</v>
          </cell>
        </row>
        <row r="1762">
          <cell r="C1762" t="str">
            <v>ПВС БАРСУКОВ В.С.</v>
          </cell>
        </row>
        <row r="1763">
          <cell r="C1763" t="str">
            <v>ПВС БАРСУКОВ В.С.10/3</v>
          </cell>
        </row>
        <row r="1764">
          <cell r="C1764" t="str">
            <v>ПВС ВАСИЛЬЕВ А.А.</v>
          </cell>
        </row>
        <row r="1765">
          <cell r="C1765" t="str">
            <v>ПВС ЗАХАРОВ С.С.</v>
          </cell>
        </row>
        <row r="1766">
          <cell r="C1766" t="str">
            <v>ПВС ЗАХАРОВ С.С.10/3</v>
          </cell>
        </row>
        <row r="1767">
          <cell r="C1767" t="str">
            <v>ПВС КЕТОВ С.И.</v>
          </cell>
        </row>
        <row r="1768">
          <cell r="C1768" t="str">
            <v>ПВС КЕТОВ С.И.10/3</v>
          </cell>
        </row>
        <row r="1769">
          <cell r="C1769" t="str">
            <v>ПВС ЛИЗНЕВ С.И.</v>
          </cell>
        </row>
        <row r="1770">
          <cell r="C1770" t="str">
            <v>ПВС МАРЬИН А.В.</v>
          </cell>
        </row>
        <row r="1771">
          <cell r="C1771" t="str">
            <v>ПВС ПЕРМЯКОВ А.В. 10/3</v>
          </cell>
        </row>
        <row r="1772">
          <cell r="C1772" t="str">
            <v>ПВС ПЛЮСНИН Н.В.</v>
          </cell>
        </row>
        <row r="1773">
          <cell r="C1773" t="str">
            <v>ПВС ПЛЮСНИН Н.В.10/3</v>
          </cell>
        </row>
        <row r="1774">
          <cell r="C1774" t="str">
            <v>ПВС УСОВА Т.А.</v>
          </cell>
        </row>
        <row r="1775">
          <cell r="C1775" t="str">
            <v>ПВС УСОВА Т.А.10/3</v>
          </cell>
        </row>
        <row r="1776">
          <cell r="C1776" t="str">
            <v>ПВФ ВИБРО-ЦЕНТР</v>
          </cell>
        </row>
        <row r="1777">
          <cell r="C1777" t="str">
            <v>ПДСУ-1 ПЕРМАВТОДОР</v>
          </cell>
        </row>
        <row r="1778">
          <cell r="C1778" t="str">
            <v>ПДСУ-1 ПЕРМАВТОДОР</v>
          </cell>
        </row>
        <row r="1779">
          <cell r="C1779" t="str">
            <v>ПЕРВОУРАЛЬСКИЙ НОВОТРУБНЫЙ ЗАВОД</v>
          </cell>
        </row>
        <row r="1780">
          <cell r="C1780" t="str">
            <v>ПЕРЕМСКОЙ СЕЛЬСКИЙ СОВЕТ</v>
          </cell>
        </row>
        <row r="1781">
          <cell r="C1781" t="str">
            <v>ПЕРМ.ОБЛ.КОЛЛЕКТОР УЧ.НАГЛ.ПОСОБИЙ</v>
          </cell>
        </row>
        <row r="1782">
          <cell r="C1782" t="str">
            <v>ПЕРМГЕОЛКОМ</v>
          </cell>
        </row>
        <row r="1783">
          <cell r="C1783" t="str">
            <v>ПЕРМИНОВ В.Я.</v>
          </cell>
        </row>
        <row r="1784">
          <cell r="C1784" t="str">
            <v>ПЕРМИНТЕРТРАНС</v>
          </cell>
        </row>
        <row r="1785">
          <cell r="C1785" t="str">
            <v>ПЕРМНЕФТЕГАЗ</v>
          </cell>
        </row>
        <row r="1786">
          <cell r="C1786" t="str">
            <v>ПЕРМНЕФТЕОРГСИНТЕЗ</v>
          </cell>
        </row>
        <row r="1787">
          <cell r="C1787" t="str">
            <v>ПЕРМНЕФТЕПРОМХИМ</v>
          </cell>
        </row>
        <row r="1788">
          <cell r="C1788" t="str">
            <v>ПЕРМОПТОРГ</v>
          </cell>
        </row>
        <row r="1789">
          <cell r="C1789" t="str">
            <v>ПЕРМС.К-Т ПО ДЕЛАМ СТР-ВА И ЛИЦЕНЗИРОВАНИЯ</v>
          </cell>
        </row>
        <row r="1790">
          <cell r="C1790" t="str">
            <v>ПЕРМСКАЯ БАЗА ОАО ПЕРМТЕХСНАБНЕФТЬ</v>
          </cell>
        </row>
        <row r="1791">
          <cell r="C1791" t="str">
            <v>ПЕРМСКАЯ БАЗА ОАО ПЕРМТЕХСНАБНЕФТЬ</v>
          </cell>
        </row>
        <row r="1792">
          <cell r="C1792" t="str">
            <v>ПЕРМСКАЯ ГОС.МЕДИЦИНСКАЯ АКАДЕМИЯ</v>
          </cell>
        </row>
        <row r="1793">
          <cell r="C1793" t="str">
            <v>ПЕРМСКАЯ ГОС.СЕЛЬСКОХОЗ. АКАДЕМИЯ</v>
          </cell>
        </row>
        <row r="1794">
          <cell r="C1794" t="str">
            <v>ПЕРМСКАЯ ГОС.ТЕЛЕКИНОРАДИОКОМПАНИЯ Т7</v>
          </cell>
        </row>
        <row r="1795">
          <cell r="C1795" t="str">
            <v>ПЕРМСКАЯ ДИРЕКЦИЯ ФОНДА СОЦ</v>
          </cell>
        </row>
        <row r="1796">
          <cell r="C1796" t="str">
            <v>ПЕРМСКАЯ ДИСТАНЦИЯ ЭЛ/СНАБЖ.СВ.Ж/Д</v>
          </cell>
        </row>
        <row r="1797">
          <cell r="C1797" t="str">
            <v>ПЕРМСКАЯ ИСПЫТАТ.ПОЖАРН.ЛАБ-РИЯ ГПС</v>
          </cell>
        </row>
        <row r="1798">
          <cell r="C1798" t="str">
            <v>ПЕРМСКАЯ КОНДИТЕРСКАЯ ФАБРИКА</v>
          </cell>
        </row>
        <row r="1799">
          <cell r="C1799" t="str">
            <v>ПЕРМСКАЯ МЕХАНИЗ.ДИСТАНЦИЯ ПОГР.-РАЗГР.РАБОТ СВ.ЖД</v>
          </cell>
        </row>
        <row r="1800">
          <cell r="C1800" t="str">
            <v>ПЕРМСКАЯ МК-42</v>
          </cell>
        </row>
        <row r="1801">
          <cell r="C1801" t="str">
            <v>ПЕРМСКАЯ ОБЛ.ВЕТЕРИНАРНАЯ ЛАБОРАТОРИЯ</v>
          </cell>
        </row>
        <row r="1802">
          <cell r="C1802" t="str">
            <v>ПЕРМСКАЯ ОБЛАСТНАЯ ФИЛАРМОНИЯ</v>
          </cell>
        </row>
        <row r="1803">
          <cell r="C1803" t="str">
            <v>ПЕРМСКАЯ СЕЛЬХОЗАКАДЕМИЯ</v>
          </cell>
        </row>
        <row r="1804">
          <cell r="C1804" t="str">
            <v>ПЕРМСКАЯ ТАМОЖНЯ</v>
          </cell>
        </row>
        <row r="1805">
          <cell r="C1805" t="str">
            <v>ПЕРМСКАЯ ТАМОЖНЯ</v>
          </cell>
        </row>
        <row r="1806">
          <cell r="C1806" t="str">
            <v>ПЕРМСКАЯ ТПП</v>
          </cell>
        </row>
        <row r="1807">
          <cell r="C1807" t="str">
            <v>ПЕРМСКИЕ ГОРОДСКИЕ Э/СЕТИ</v>
          </cell>
        </row>
        <row r="1808">
          <cell r="C1808" t="str">
            <v>ПЕРМСКИИЙ ЭТУС</v>
          </cell>
        </row>
        <row r="1809">
          <cell r="C1809" t="str">
            <v>ПЕРМСКИЙ ГОС. УНИВЕРСИТЕТ</v>
          </cell>
        </row>
        <row r="1810">
          <cell r="C1810" t="str">
            <v>ПЕРМСКИЙ ГОС.ИНСТ-Т ИСКУССТВА И КУЛЬТУРЫ</v>
          </cell>
        </row>
        <row r="1811">
          <cell r="C1811" t="str">
            <v>ПЕРМСКИЙ ГОС.ПЕДАГОГИЧЕСКИЙ ИН-Т</v>
          </cell>
        </row>
        <row r="1812">
          <cell r="C1812" t="str">
            <v>ПЕРМСКИЙ ГОС.ТЕХНИЧЕСКИЙ УНИВЕРСИТЕ</v>
          </cell>
        </row>
        <row r="1813">
          <cell r="C1813" t="str">
            <v>ПЕРМСКИЙ ГУМАНИТАРНО - ТЕХНОЛОГИЧЕСКИЙ ИНСТИТУТ</v>
          </cell>
        </row>
        <row r="1814">
          <cell r="C1814" t="str">
            <v>ПЕРМСКИЙ ЗАВОД АВТОАГРЕГАТ</v>
          </cell>
        </row>
        <row r="1815">
          <cell r="C1815" t="str">
            <v>ПЕРМСКИЙ ЗАВОД ЖБК-1</v>
          </cell>
        </row>
        <row r="1816">
          <cell r="C1816" t="str">
            <v>ПЕРМСКИЙ ЗАВОД ИМ.КИРОВА</v>
          </cell>
        </row>
        <row r="1817">
          <cell r="C1817" t="str">
            <v>ПЕРМСКИЙ ЗАВОД МИН.ИЗДЕЛИЙ</v>
          </cell>
        </row>
        <row r="1818">
          <cell r="C1818" t="str">
            <v>ПЕРМСКИЙ ЗАВОД УГЛЕКИСЛОТЫ</v>
          </cell>
        </row>
        <row r="1819">
          <cell r="C1819" t="str">
            <v>ПЕРМСКИЙ ИЗОЛЯТОРНЫЙ ЗАВОД</v>
          </cell>
        </row>
        <row r="1820">
          <cell r="C1820" t="str">
            <v>ПЕРМСКИЙ КЛУБ РУМБ</v>
          </cell>
        </row>
        <row r="1821">
          <cell r="C1821" t="str">
            <v>ПЕРМСКИЙ КОМИТЕТ ПО ВОДНОМУ ХОЗ-ВУ</v>
          </cell>
        </row>
        <row r="1822">
          <cell r="C1822" t="str">
            <v>ПЕРМСКИЙ КОМИТЕТ ПО ЗЕМ.РЕСУРСАМ</v>
          </cell>
        </row>
        <row r="1823">
          <cell r="C1823" t="str">
            <v>ПЕРМСКИЙ КОММЕРЧЕСКИЙ КОЛЛЕДЖ</v>
          </cell>
        </row>
        <row r="1824">
          <cell r="C1824" t="str">
            <v>ПЕРМСКИЙ КОММЕРЧЕСКИЙ КОЛЛЕДЖ</v>
          </cell>
        </row>
        <row r="1825">
          <cell r="C1825" t="str">
            <v>ПЕРМСКИЙ КОН.НЕФТЕМАШРЕМ</v>
          </cell>
        </row>
        <row r="1826">
          <cell r="C1826" t="str">
            <v>ПЕРМСКИЙ ЛАКОКРАСОЧНЫЙ ЗАВОД</v>
          </cell>
        </row>
        <row r="1827">
          <cell r="C1827" t="str">
            <v>ПЕРМСКИЙ МЕХ.ЗАВОД РОСТОЧ.</v>
          </cell>
        </row>
        <row r="1828">
          <cell r="C1828" t="str">
            <v>ПЕРМСКИЙ НЕФТЯНОЙ КОЛЛЕДЖ</v>
          </cell>
        </row>
        <row r="1829">
          <cell r="C1829" t="str">
            <v>ПЕРМСКИЙ НЕФТЯНОЙ КОЛЛЕДЖ</v>
          </cell>
        </row>
        <row r="1830">
          <cell r="C1830" t="str">
            <v>ПЕРМСКИЙ ОБЛ.ВОЕННЫЙ КОМИССАРИАТ</v>
          </cell>
        </row>
        <row r="1831">
          <cell r="C1831" t="str">
            <v>ПЕРМСКИЙ ОБЛ.ГИДРОМЕТЦЕНТР</v>
          </cell>
        </row>
        <row r="1832">
          <cell r="C1832" t="str">
            <v>ПЕРМСКИЙ ОБЛ.КОМИТЕТ ГОС.СТАТИСТИКИ</v>
          </cell>
        </row>
        <row r="1833">
          <cell r="C1833" t="str">
            <v>ПЕРМСКИЙ ОБЛ.КОМ-Т ПО ОХРАНЕ ПРИРОДЫ</v>
          </cell>
        </row>
        <row r="1834">
          <cell r="C1834" t="str">
            <v>ПЕРМСКИЙ ОБЛ.СОЗ.КРИЧИНЫ</v>
          </cell>
        </row>
        <row r="1835">
          <cell r="C1835" t="str">
            <v>ПЕРМСКИЙ ОБЛ.СТРЕЛК.СПОРТ.КЛУБ РОСТ</v>
          </cell>
        </row>
        <row r="1836">
          <cell r="C1836" t="str">
            <v>ПЕРМСКИЙ ОБЛ.ФОНД БЕЗОП.ДОРОЖН.ДВИЖЕНИЯ</v>
          </cell>
        </row>
        <row r="1837">
          <cell r="C1837" t="str">
            <v>ПЕРМСКИЙ ОБЛАСТНОЙ БЮДЖЕТ</v>
          </cell>
        </row>
        <row r="1838">
          <cell r="C1838" t="str">
            <v>ПЕРМСКИЙ ОБЛАСТНОЙ ДОР.КОМИТЕТ</v>
          </cell>
        </row>
        <row r="1839">
          <cell r="C1839" t="str">
            <v>ПЕРМСКИЙ ОБЛАСТНОЙ ТВОРЧЕСКИЙ ЦЕНТР</v>
          </cell>
        </row>
        <row r="1840">
          <cell r="C1840" t="str">
            <v>ПЕРМСКИЙ ОКОП</v>
          </cell>
        </row>
        <row r="1841">
          <cell r="C1841" t="str">
            <v>ПЕРМСКИЙ ПОЛИТЕХ</v>
          </cell>
        </row>
        <row r="1842">
          <cell r="C1842" t="str">
            <v>ПЕРМСКИЙ ПОЛИТЕХНИЧЕСКИЙ КОЛЛЕДЖ</v>
          </cell>
        </row>
        <row r="1843">
          <cell r="C1843" t="str">
            <v>ПЕРМСКИЙ ПОЛИТЕХНИЧЕСКИЙ УНИВЕРСИТЕТ</v>
          </cell>
        </row>
        <row r="1844">
          <cell r="C1844" t="str">
            <v>ПЕРМСКИЙ ПОЛИТЕХНИЧЕСКИЙ УНИВЕР-Т</v>
          </cell>
        </row>
        <row r="1845">
          <cell r="C1845" t="str">
            <v>ПЕРМСКИЙ РЕГИОНАЛЬНЫЙ ОТРАСЛ.СОВЕТ</v>
          </cell>
        </row>
        <row r="1846">
          <cell r="C1846" t="str">
            <v>ПЕРМСКИЙ СПЕЦ.МАГАЗИН ХИМ.РЕАКТИВОВ</v>
          </cell>
        </row>
        <row r="1847">
          <cell r="C1847" t="str">
            <v>ПЕРМСКИЙ СПЕЦ.УЧ-К Ф-ЛА КВАНТ</v>
          </cell>
        </row>
        <row r="1848">
          <cell r="C1848" t="str">
            <v>ПЕРМСКИЙ СПЕЦИАЛИЗИР.УЧАСТОК</v>
          </cell>
        </row>
        <row r="1849">
          <cell r="C1849" t="str">
            <v>ПЕРМСКИЙ СТРОИТЕЛЬНЫЙ КОЛЛЕДЖ</v>
          </cell>
        </row>
        <row r="1850">
          <cell r="C1850" t="str">
            <v>ПЕРМСКИЙ ТЕР.КОМИТЕТ ПО ГЕОЛОГИИ</v>
          </cell>
        </row>
        <row r="1851">
          <cell r="C1851" t="str">
            <v>ПЕРМСКИЙ ТЕХ ПД</v>
          </cell>
        </row>
        <row r="1852">
          <cell r="C1852" t="str">
            <v>ПЕРМСКИЙ ТОРГОВО-ЭКОНОМИЧЕС.КОЛЛЕДЖ</v>
          </cell>
        </row>
        <row r="1853">
          <cell r="C1853" t="str">
            <v>ПЕРМСКИЙ УПП ВОС</v>
          </cell>
        </row>
        <row r="1854">
          <cell r="C1854" t="str">
            <v>ПЕРМСКИЙ УЧАСТОК МАЛОЙ МЕХАНИЗАЦИИ</v>
          </cell>
        </row>
        <row r="1855">
          <cell r="C1855" t="str">
            <v>ПЕРМСКИЙ Ф/Л №-2 ЗАО СПЕЦАВТОМАТИКА</v>
          </cell>
        </row>
        <row r="1856">
          <cell r="C1856" t="str">
            <v>ПЕРМСКИЙ Ф/Л ФОНДА ПОЖАРНОЙ БЕЗОПАСНОСТИ</v>
          </cell>
        </row>
        <row r="1857">
          <cell r="C1857" t="str">
            <v>ПЕРМСКИЙ ФИЛИАЛ АБ ИМПЕРИАЛ</v>
          </cell>
        </row>
        <row r="1858">
          <cell r="C1858" t="str">
            <v>ПЕРМСКИЙ ФИЛИАЛ СП РИДЕКС</v>
          </cell>
        </row>
        <row r="1859">
          <cell r="C1859" t="str">
            <v>ПЕРМСКИЙ ФИЛИАЛ УЭСТМ</v>
          </cell>
        </row>
        <row r="1860">
          <cell r="C1860" t="str">
            <v>ПЕРМСКИЙ ФИНАНСОВО-ЭКОНОМИЧ.КОЛЛЕДЖ</v>
          </cell>
        </row>
        <row r="1861">
          <cell r="C1861" t="str">
            <v>ПЕРМСКИЙ ХИМИКО-ТЕХНОЛОГИЧЕСКИЙ ТЕХНИКУМ</v>
          </cell>
        </row>
        <row r="1862">
          <cell r="C1862" t="str">
            <v>ПЕРМСКИЙ ХЛАДОКОМБИНАТ</v>
          </cell>
        </row>
        <row r="1863">
          <cell r="C1863" t="str">
            <v>ПЕРМСКИЙ ЦЕНТР ГОССАНЭПИДНАДЗОРА</v>
          </cell>
        </row>
        <row r="1864">
          <cell r="C1864" t="str">
            <v>ПЕРМСКИЙ ЦЕНТР СМиС</v>
          </cell>
        </row>
        <row r="1865">
          <cell r="C1865" t="str">
            <v>ПЕРМСКИЙ ЦЕНТР ТУРИЗМА</v>
          </cell>
        </row>
        <row r="1866">
          <cell r="C1866" t="str">
            <v>ПЕРМСКИЙ ЦНТИ</v>
          </cell>
        </row>
        <row r="1867">
          <cell r="C1867" t="str">
            <v>ПЕРМСКИЙ ЭТУС</v>
          </cell>
        </row>
        <row r="1868">
          <cell r="C1868" t="str">
            <v>ПЕРМСКОЕ БЮРО ПУТЕШЕСТВИЙ</v>
          </cell>
        </row>
        <row r="1869">
          <cell r="C1869" t="str">
            <v>ПЕРМСКОЕ ЛПУ МГ</v>
          </cell>
        </row>
        <row r="1870">
          <cell r="C1870" t="str">
            <v>ПЕРМСКОЕ ЛПУ МГ</v>
          </cell>
        </row>
        <row r="1871">
          <cell r="C1871" t="str">
            <v>ПЕРМСКОЕ ОБЛ.ГОСПРЕДПР.ЗООВЕТСНАБ</v>
          </cell>
        </row>
        <row r="1872">
          <cell r="C1872" t="str">
            <v>ПЕРМСКОЕ ОБЛ.ГОСПРЕДПР.ЗООВЕТСНАБ</v>
          </cell>
        </row>
        <row r="1873">
          <cell r="C1873" t="str">
            <v>ПЕРМСКОЕ ОБЛ.ПРАВ.РНТО</v>
          </cell>
        </row>
        <row r="1874">
          <cell r="C1874" t="str">
            <v>ПЕРМСКОЕ ОБЛАСТНОЕ ПРАВЛЕНИЕ С/ХОЗЯЙСТВА</v>
          </cell>
        </row>
        <row r="1875">
          <cell r="C1875" t="str">
            <v>ПЕРМСКОЕ ОГП</v>
          </cell>
        </row>
        <row r="1876">
          <cell r="C1876" t="str">
            <v>ПЕРМСКОЕ ОТД.ПВО РАН</v>
          </cell>
        </row>
        <row r="1877">
          <cell r="C1877" t="str">
            <v>ПЕРМСКОЕ ОТДЕЛЕНИЕ СВЕРДЛ.Ж/Д</v>
          </cell>
        </row>
        <row r="1878">
          <cell r="C1878" t="str">
            <v>ПЕРМСКОЕ ПРЕДПР.ПТО</v>
          </cell>
        </row>
        <row r="1879">
          <cell r="C1879" t="str">
            <v>ПЕРМСКОЕ ПРЕДПРИЯТИЕ РАБ.СНАБЖЕНИЯ</v>
          </cell>
        </row>
        <row r="1880">
          <cell r="C1880" t="str">
            <v>ПЕРМСКОЕ ПРОТЕЗНОЕ П/П-Е</v>
          </cell>
        </row>
        <row r="1881">
          <cell r="C1881" t="str">
            <v>ПЕРМСКОЕ ПРОФ.УЧИЛИЩЕ 59</v>
          </cell>
        </row>
        <row r="1882">
          <cell r="C1882" t="str">
            <v>ПЕРМСКОЕ РЕГИОН.ОТДЕЛЕНИЕ ФСС</v>
          </cell>
        </row>
        <row r="1883">
          <cell r="C1883" t="str">
            <v>ПЕРМСКОЕ РЕГИОНАЛЬНОЕ.ОТДЕЛЕНИЕ ФСС</v>
          </cell>
        </row>
        <row r="1884">
          <cell r="C1884" t="str">
            <v>ПЕРМСКОЕ РНУ</v>
          </cell>
        </row>
        <row r="1885">
          <cell r="C1885" t="str">
            <v>ПЕРМСКОЕ РНУ</v>
          </cell>
        </row>
        <row r="1886">
          <cell r="C1886" t="str">
            <v>ПЕРМСКОЕ УТТ</v>
          </cell>
        </row>
        <row r="1887">
          <cell r="C1887" t="str">
            <v>ПЕРМСКОЕ УТТ</v>
          </cell>
        </row>
        <row r="1888">
          <cell r="C1888" t="str">
            <v>ПЕРМТЕХСНАБ</v>
          </cell>
        </row>
        <row r="1889">
          <cell r="C1889" t="str">
            <v>ПЕРМЬ-УРАЛАВТОСЕРВИС</v>
          </cell>
        </row>
        <row r="1890">
          <cell r="C1890" t="str">
            <v>ПЕРМЭНЕРГОСНАБКОМПЛЕКТ</v>
          </cell>
        </row>
        <row r="1891">
          <cell r="C1891" t="str">
            <v>ПЕРМЯКОВ</v>
          </cell>
        </row>
        <row r="1892">
          <cell r="C1892" t="str">
            <v>ПЕРМЯКОВ А.В.</v>
          </cell>
        </row>
        <row r="1893">
          <cell r="C1893" t="str">
            <v>Пермяков Ан.Вл.</v>
          </cell>
        </row>
        <row r="1894">
          <cell r="C1894" t="str">
            <v>ПЕРМЯКОВ П.И.</v>
          </cell>
        </row>
        <row r="1895">
          <cell r="C1895" t="str">
            <v>ПЕРМЯКОВ Ю.Н.</v>
          </cell>
        </row>
        <row r="1896">
          <cell r="C1896" t="str">
            <v>ПЕРМЯКОВ Ю.Н.</v>
          </cell>
        </row>
        <row r="1897">
          <cell r="C1897" t="str">
            <v>ПЕРМЯКОВ Ю.Н.</v>
          </cell>
        </row>
        <row r="1898">
          <cell r="C1898" t="str">
            <v>ПЕТРИЩЕВА В.Н.</v>
          </cell>
        </row>
        <row r="1899">
          <cell r="C1899" t="str">
            <v>ПЕТУНИН В.И.</v>
          </cell>
        </row>
        <row r="1900">
          <cell r="C1900" t="str">
            <v>ПЕЧЕРИЦА Г.Е.</v>
          </cell>
        </row>
        <row r="1901">
          <cell r="C1901" t="str">
            <v>ПИМАШИН О.П.</v>
          </cell>
        </row>
        <row r="1902">
          <cell r="C1902" t="str">
            <v>ПИТАНИЕ СОТРУДНИКОВ</v>
          </cell>
        </row>
        <row r="1903">
          <cell r="C1903" t="str">
            <v>ПИТАНИЕ СОТРУДНИКОВ</v>
          </cell>
        </row>
        <row r="1904">
          <cell r="C1904" t="str">
            <v>ПКП ПРОМИНСТРУМЕНТ</v>
          </cell>
        </row>
        <row r="1905">
          <cell r="C1905" t="str">
            <v>ПКРС</v>
          </cell>
        </row>
        <row r="1906">
          <cell r="C1906" t="str">
            <v>ПКРС                      за баланс</v>
          </cell>
        </row>
        <row r="1907">
          <cell r="C1907" t="str">
            <v>ПКРС АНАНИН В.М.</v>
          </cell>
        </row>
        <row r="1908">
          <cell r="C1908" t="str">
            <v>ПКРС АНАНИН В.М.10/3</v>
          </cell>
        </row>
        <row r="1909">
          <cell r="C1909" t="str">
            <v>ПКРС АНТИПЬЕВ Ф.Д.</v>
          </cell>
        </row>
        <row r="1910">
          <cell r="C1910" t="str">
            <v>ПКРС АРТЕМОВ А.А.</v>
          </cell>
        </row>
        <row r="1911">
          <cell r="C1911" t="str">
            <v>ПКРС БРАТУХИН С.Ю.</v>
          </cell>
        </row>
        <row r="1912">
          <cell r="C1912" t="str">
            <v>ПКРС ВДОВИН М.П.</v>
          </cell>
        </row>
        <row r="1913">
          <cell r="C1913" t="str">
            <v>ПКРС ВДОВИН П.П.</v>
          </cell>
        </row>
        <row r="1914">
          <cell r="C1914" t="str">
            <v>ПКРС ВОЛЬФ А.А.</v>
          </cell>
        </row>
        <row r="1915">
          <cell r="C1915" t="str">
            <v>ПКРС ВОЛЬФ А.А.10/3</v>
          </cell>
        </row>
        <row r="1916">
          <cell r="C1916" t="str">
            <v>ПКРС ЖИЖИН А.М.</v>
          </cell>
        </row>
        <row r="1917">
          <cell r="C1917" t="str">
            <v>ПКРС ЖИЖИН А.М.</v>
          </cell>
        </row>
        <row r="1918">
          <cell r="C1918" t="str">
            <v>ПКРС МОГИЛЬНИКОВ А.Б</v>
          </cell>
        </row>
        <row r="1919">
          <cell r="C1919" t="str">
            <v>ПКРС МОГИЛЬНИКОВ М.Б.</v>
          </cell>
        </row>
        <row r="1920">
          <cell r="C1920" t="str">
            <v>ПКРС ОПЛЕТИН А.А.</v>
          </cell>
        </row>
        <row r="1921">
          <cell r="C1921" t="str">
            <v>ПКРС ПОСПЕЛОВ В.В.</v>
          </cell>
        </row>
        <row r="1922">
          <cell r="C1922" t="str">
            <v>ПКРС СЫРОПЯТОВ В.С.</v>
          </cell>
        </row>
        <row r="1923">
          <cell r="C1923" t="str">
            <v>ПКРС СЫРОПЯТОВ В.С.</v>
          </cell>
        </row>
        <row r="1924">
          <cell r="C1924" t="str">
            <v>ПКРС ТОКАРЕВА А.М.</v>
          </cell>
        </row>
        <row r="1925">
          <cell r="C1925" t="str">
            <v>ПКРС ТУКАЕВ Р.Х.</v>
          </cell>
        </row>
        <row r="1926">
          <cell r="C1926" t="str">
            <v>ПКРС ЧУДИНОВ А.А.</v>
          </cell>
        </row>
        <row r="1927">
          <cell r="C1927" t="str">
            <v>ПКРС ЧУДИНОВ А.А.</v>
          </cell>
        </row>
        <row r="1928">
          <cell r="C1928" t="str">
            <v>ПКФ АГРОДЕТАЛЬ</v>
          </cell>
        </row>
        <row r="1929">
          <cell r="C1929" t="str">
            <v>ПКФ АМРИТА</v>
          </cell>
        </row>
        <row r="1930">
          <cell r="C1930" t="str">
            <v>ПКФ АНДРЕЕВСКИЙ ФЛАГ</v>
          </cell>
        </row>
        <row r="1931">
          <cell r="C1931" t="str">
            <v>ПКФ ГЛОРИЯ</v>
          </cell>
        </row>
        <row r="1932">
          <cell r="C1932" t="str">
            <v>ПКФ ДАКС</v>
          </cell>
        </row>
        <row r="1933">
          <cell r="C1933" t="str">
            <v>ПКФ ДАКС</v>
          </cell>
        </row>
        <row r="1934">
          <cell r="C1934" t="str">
            <v>ПКФ МАГНОЛИЯ</v>
          </cell>
        </row>
        <row r="1935">
          <cell r="C1935" t="str">
            <v>ПКФ МИРАНДА</v>
          </cell>
        </row>
        <row r="1936">
          <cell r="C1936" t="str">
            <v>ПКФ ОХТА</v>
          </cell>
        </row>
        <row r="1937">
          <cell r="C1937" t="str">
            <v>ПКФ ПОЛАИР -СЕРВИС</v>
          </cell>
        </row>
        <row r="1938">
          <cell r="C1938" t="str">
            <v>ПКФ ТОНАР</v>
          </cell>
        </row>
        <row r="1939">
          <cell r="C1939" t="str">
            <v>ПКФ УРАЛСВЯЗЬ</v>
          </cell>
        </row>
        <row r="1940">
          <cell r="C1940" t="str">
            <v>ПЛАТА ЗА ОБЩЕЖИТИЕ</v>
          </cell>
        </row>
        <row r="1941">
          <cell r="C1941" t="str">
            <v>ПЛАТНЫЕ УСЛУГИ НАСЕЛЕНИЮ</v>
          </cell>
        </row>
        <row r="1942">
          <cell r="C1942" t="str">
            <v>ПЛЮСНИН В.К.</v>
          </cell>
        </row>
        <row r="1943">
          <cell r="C1943" t="str">
            <v>ПЛЮСНИН Н.В.</v>
          </cell>
        </row>
        <row r="1944">
          <cell r="C1944" t="str">
            <v>ПЛЮСНИНА И.А.</v>
          </cell>
        </row>
        <row r="1945">
          <cell r="C1945" t="str">
            <v>ПЛЮСНИНА О.Н.</v>
          </cell>
        </row>
        <row r="1946">
          <cell r="C1946" t="str">
            <v>ПМК -7 ТР 15</v>
          </cell>
        </row>
        <row r="1947">
          <cell r="C1947" t="str">
            <v>ПМК г.СОЛИКАМСК</v>
          </cell>
        </row>
        <row r="1948">
          <cell r="C1948" t="str">
            <v>ПМК г.СОЛИКАМСК</v>
          </cell>
        </row>
        <row r="1949">
          <cell r="C1949" t="str">
            <v>ПМК-1 тр.15</v>
          </cell>
        </row>
        <row r="1950">
          <cell r="C1950" t="str">
            <v>ПМК-1 тр.15</v>
          </cell>
        </row>
        <row r="1951">
          <cell r="C1951" t="str">
            <v>ПМК-42</v>
          </cell>
        </row>
        <row r="1952">
          <cell r="C1952" t="str">
            <v>ПМК-6 тр.15</v>
          </cell>
        </row>
        <row r="1953">
          <cell r="C1953" t="str">
            <v>ПМК-6 ТР.15</v>
          </cell>
        </row>
        <row r="1954">
          <cell r="C1954" t="str">
            <v>ПМФ ПЕРМТОРГМОНТАЖ</v>
          </cell>
        </row>
        <row r="1955">
          <cell r="C1955" t="str">
            <v>ПНИТИ</v>
          </cell>
        </row>
        <row r="1956">
          <cell r="C1956" t="str">
            <v>ПНОГЭМ</v>
          </cell>
        </row>
        <row r="1957">
          <cell r="C1957" t="str">
            <v>ПО АГРОГРАД</v>
          </cell>
        </row>
        <row r="1958">
          <cell r="C1958" t="str">
            <v>ПО АКТЮБРЕНГЕНТ</v>
          </cell>
        </row>
        <row r="1959">
          <cell r="C1959" t="str">
            <v>ПО АНОПРИБОР</v>
          </cell>
        </row>
        <row r="1960">
          <cell r="C1960" t="str">
            <v>ПО ДОРМАШ</v>
          </cell>
        </row>
        <row r="1961">
          <cell r="C1961" t="str">
            <v>ПО МЕТАНОЛ г.ГУБАХА</v>
          </cell>
        </row>
        <row r="1962">
          <cell r="C1962" t="str">
            <v>ПО МЕТАНОЛ г.ГУБАХА</v>
          </cell>
        </row>
        <row r="1963">
          <cell r="C1963" t="str">
            <v>ПО МИНСКИЙ ТРАКТОРНЫЙ ЗАВОД</v>
          </cell>
        </row>
        <row r="1964">
          <cell r="C1964" t="str">
            <v>ПО СВЯЗИ</v>
          </cell>
        </row>
        <row r="1965">
          <cell r="C1965" t="str">
            <v>ПО СИЛЬВИНИТ</v>
          </cell>
        </row>
        <row r="1966">
          <cell r="C1966" t="str">
            <v>ПО СИЛЬВИНИТ</v>
          </cell>
        </row>
        <row r="1967">
          <cell r="C1967" t="str">
            <v>ПО СНИО НГП</v>
          </cell>
        </row>
        <row r="1968">
          <cell r="C1968" t="str">
            <v>ПО ЧЕПЕЦКИЙ МЕХЗАВОД</v>
          </cell>
        </row>
        <row r="1969">
          <cell r="C1969" t="str">
            <v>ПО ЧЕПЕЦКИЙ МЕХЗАВОД</v>
          </cell>
        </row>
        <row r="1970">
          <cell r="C1970" t="str">
            <v>ПО ЭЛЕКТРОИЗМЕРИТЕЛЬ</v>
          </cell>
        </row>
        <row r="1971">
          <cell r="C1971" t="str">
            <v>ПОГАДАЕВ В.И.</v>
          </cell>
        </row>
        <row r="1972">
          <cell r="C1972" t="str">
            <v>ПОДГОТ.БРИГАДА</v>
          </cell>
        </row>
        <row r="1973">
          <cell r="C1973" t="str">
            <v>ПОДОТЧЕТНИКИ</v>
          </cell>
        </row>
        <row r="1974">
          <cell r="C1974" t="str">
            <v>ПОДСОБНОЕ С/ХОЗ-ВО ШЕМЕТИ</v>
          </cell>
        </row>
        <row r="1975">
          <cell r="C1975" t="str">
            <v>Поздеев А.В.</v>
          </cell>
        </row>
        <row r="1976">
          <cell r="C1976" t="str">
            <v>ПОЛАЗН.УТТ</v>
          </cell>
        </row>
        <row r="1977">
          <cell r="C1977" t="str">
            <v>ПОЛАЗНЕНСКАЯ БАЗА ОАО ПЕРМТЕХСНАБНЕФТЬ</v>
          </cell>
        </row>
        <row r="1978">
          <cell r="C1978" t="str">
            <v>ПОЛАЗНЕНСКАЯ БАЗА ОАО ПЕРМТЕХСНАБНЕФТЬ</v>
          </cell>
        </row>
        <row r="1979">
          <cell r="C1979" t="str">
            <v>ПОЛАЗНЕНСКАЯ БАЗА ОАО ПЕРМТЕХСНАБНЕФТЬ</v>
          </cell>
        </row>
        <row r="1980">
          <cell r="C1980" t="str">
            <v>ПОЛАЗНЕНСКАЯ МИЛИЦИЯ</v>
          </cell>
        </row>
        <row r="1981">
          <cell r="C1981" t="str">
            <v>ПОЛАЗНЕНСКАЯ МУЗ.ШКОЛА</v>
          </cell>
        </row>
        <row r="1982">
          <cell r="C1982" t="str">
            <v>ПОЛАЗНЕНСКАЯ МУЗЫКАЛЬНАЯ ШКОЛА</v>
          </cell>
        </row>
        <row r="1983">
          <cell r="C1983" t="str">
            <v>ПОЛАЗНЕНСКАЯ НПС</v>
          </cell>
        </row>
        <row r="1984">
          <cell r="C1984" t="str">
            <v>ПОЛАЗНЕНСКАЯ СРЕДНЯЯ ШКОЛА N-1</v>
          </cell>
        </row>
        <row r="1985">
          <cell r="C1985" t="str">
            <v>ПОЛАЗНЕНСКАЯ СРЕДНЯЯ ШКОЛА N-1</v>
          </cell>
        </row>
        <row r="1986">
          <cell r="C1986" t="str">
            <v>ПОЛАЗНЕНСКАЯ СРЕДНЯЯ ШКОЛА N-3</v>
          </cell>
        </row>
        <row r="1987">
          <cell r="C1987" t="str">
            <v>ПОЛАЗНЕНСКАЯ СРЕДНЯЯ ШКОЛА N-3</v>
          </cell>
        </row>
        <row r="1988">
          <cell r="C1988" t="str">
            <v>ПОЛАЗНЕНСКИЙ ВЕТЕРИНАРНЫЙ УЧАСТОК</v>
          </cell>
        </row>
        <row r="1989">
          <cell r="C1989" t="str">
            <v>ПОЛАЗНЕНСКИЙ ДЕТСКИЙ ТУБ.САНАТОРИЙ</v>
          </cell>
        </row>
        <row r="1990">
          <cell r="C1990" t="str">
            <v>ПОЛАЗНЕНСКИЙ ДЕТСКИЙ ТУБ.САНАТОРИЙ</v>
          </cell>
        </row>
        <row r="1991">
          <cell r="C1991" t="str">
            <v>ПОЛАЗНЕНСКИЙ ДОМ ТВОРЧЕСТВА</v>
          </cell>
        </row>
        <row r="1992">
          <cell r="C1992" t="str">
            <v>ПОЛАЗНЕНСКИЙ ДОМ ТВОРЧЕСТВА РАДУГА</v>
          </cell>
        </row>
        <row r="1993">
          <cell r="C1993" t="str">
            <v>ПОЛАЗНЕНСКИЙ Ф-АЛ ОАО ПЕРМТОРГНЕФТЬ</v>
          </cell>
        </row>
        <row r="1994">
          <cell r="C1994" t="str">
            <v>ПОЛАЗНЕНСКИЙ Ф-АЛ ОАО ПЕРМТОРГНЕФТЬ</v>
          </cell>
        </row>
        <row r="1995">
          <cell r="C1995" t="str">
            <v>ПОЛАЗНЕНСКИЙ Ф-АЛ ОАО ПЕРМТОРГНЕФТЬ</v>
          </cell>
        </row>
        <row r="1996">
          <cell r="C1996" t="str">
            <v>ПОЛАЗНЕНСКИЙ Ф-АЛ ООО ПЕРМТОРГСЕРВИС</v>
          </cell>
        </row>
        <row r="1997">
          <cell r="C1997" t="str">
            <v>ПОЛАЗНЕНСКИЙ Ф-АЛ ПЕРМТОРГСЕРВИС</v>
          </cell>
        </row>
        <row r="1998">
          <cell r="C1998" t="str">
            <v>ПОЛАЗНЕНСКИЙ Ф-Л ООО ПЕРМТОРГСЕРВИС</v>
          </cell>
        </row>
        <row r="1999">
          <cell r="C1999" t="str">
            <v>ПОЛАЗНЕНСКОЕ УТТ</v>
          </cell>
        </row>
        <row r="2000">
          <cell r="C2000" t="str">
            <v>ПОЛАЗНЕНСКОЕ УТТ</v>
          </cell>
        </row>
        <row r="2001">
          <cell r="C2001" t="str">
            <v>ПОЛАЗНЕНСКОЕ ХРТП</v>
          </cell>
        </row>
        <row r="2002">
          <cell r="C2002" t="str">
            <v>ПОЛАЗНЕНСКОЕ ХРТП</v>
          </cell>
        </row>
        <row r="2003">
          <cell r="C2003" t="str">
            <v>ПОЛТАВСКИЙ Ф-АЛ КБ ПРИВАТБАНК</v>
          </cell>
        </row>
        <row r="2004">
          <cell r="C2004" t="str">
            <v>ПОЛЫГАЛОВ В.Н.</v>
          </cell>
        </row>
        <row r="2005">
          <cell r="C2005" t="str">
            <v>ПОЛЫГАЛОВ В.Н.</v>
          </cell>
        </row>
        <row r="2006">
          <cell r="C2006" t="str">
            <v>ПОНОМАРЕВА З.Г.</v>
          </cell>
        </row>
        <row r="2007">
          <cell r="C2007" t="str">
            <v>ПОО КАТЭК</v>
          </cell>
        </row>
        <row r="2008">
          <cell r="C2008" t="str">
            <v>ПОРОСЯТА</v>
          </cell>
        </row>
        <row r="2009">
          <cell r="C2009" t="str">
            <v>ПОСПЕЛОВ В.В.</v>
          </cell>
        </row>
        <row r="2010">
          <cell r="C2010" t="str">
            <v>ПОСТАВЩИКИ</v>
          </cell>
        </row>
        <row r="2011">
          <cell r="C2011" t="str">
            <v>ПП АГОРА</v>
          </cell>
        </row>
        <row r="2012">
          <cell r="C2012" t="str">
            <v>ПП КРИСТАЛ</v>
          </cell>
        </row>
        <row r="2013">
          <cell r="C2013" t="str">
            <v>ППД</v>
          </cell>
        </row>
        <row r="2014">
          <cell r="C2014" t="str">
            <v>ППЗ Г.НОВОСИБИРСК</v>
          </cell>
        </row>
        <row r="2015">
          <cell r="C2015" t="str">
            <v>ППН</v>
          </cell>
        </row>
        <row r="2016">
          <cell r="C2016" t="str">
            <v>ППН                       за баланс</v>
          </cell>
        </row>
        <row r="2017">
          <cell r="C2017" t="str">
            <v>ППН АБАТУРОВ Ю.П.</v>
          </cell>
        </row>
        <row r="2018">
          <cell r="C2018" t="str">
            <v>ППН ВЛАСОВ А.А.</v>
          </cell>
        </row>
        <row r="2019">
          <cell r="C2019" t="str">
            <v>ППН ЕВДОКИМОВ К.Э.</v>
          </cell>
        </row>
        <row r="2020">
          <cell r="C2020" t="str">
            <v>ППН КВАШНИН С.В.</v>
          </cell>
        </row>
        <row r="2021">
          <cell r="C2021" t="str">
            <v>ППН КУЗНЕЦОВА С.Г.</v>
          </cell>
        </row>
        <row r="2022">
          <cell r="C2022" t="str">
            <v>ППН МИРОНОВ А.Е.</v>
          </cell>
        </row>
        <row r="2023">
          <cell r="C2023" t="str">
            <v>ППН МИРОНОВ В.В.</v>
          </cell>
        </row>
        <row r="2024">
          <cell r="C2024" t="str">
            <v>ППН МИРОНОВ В.В.10/3</v>
          </cell>
        </row>
        <row r="2025">
          <cell r="C2025" t="str">
            <v>ППН ОБОРИН В.Г.</v>
          </cell>
        </row>
        <row r="2026">
          <cell r="C2026" t="str">
            <v>ППН ОБОРИН В.Г.10/3</v>
          </cell>
        </row>
        <row r="2027">
          <cell r="C2027" t="str">
            <v>ППН ПУТИЛОВ В.Б.</v>
          </cell>
        </row>
        <row r="2028">
          <cell r="C2028" t="str">
            <v>ППН ПУТИЛОВ В.Б.10/3</v>
          </cell>
        </row>
        <row r="2029">
          <cell r="C2029" t="str">
            <v>ППН РАЗЕПИН К.Л.</v>
          </cell>
        </row>
        <row r="2030">
          <cell r="C2030" t="str">
            <v>ППН РАЗЕПИН К.Л.10/3</v>
          </cell>
        </row>
        <row r="2031">
          <cell r="C2031" t="str">
            <v>ППН СМИРНОВА Е.М.</v>
          </cell>
        </row>
        <row r="2032">
          <cell r="C2032" t="str">
            <v>ППН СОЛОРЕВ Ю.А.</v>
          </cell>
        </row>
        <row r="2033">
          <cell r="C2033" t="str">
            <v>ППН СОЛОРЕВ Ю.А.10/3</v>
          </cell>
        </row>
        <row r="2034">
          <cell r="C2034" t="str">
            <v>ППН СУДНИЩИКОВ А.В.</v>
          </cell>
        </row>
        <row r="2035">
          <cell r="C2035" t="str">
            <v>ППОН г.БЕРЕЗНИКИ</v>
          </cell>
        </row>
        <row r="2036">
          <cell r="C2036" t="str">
            <v>ППСК-4</v>
          </cell>
        </row>
        <row r="2037">
          <cell r="C2037" t="str">
            <v>ППСК-4</v>
          </cell>
        </row>
        <row r="2038">
          <cell r="C2038" t="str">
            <v>ППЦ АСТУР</v>
          </cell>
        </row>
        <row r="2039">
          <cell r="C2039" t="str">
            <v>ПРЕДПРЕНИМАТЕЛЬ КОЗЛЕНКО И.Ф.</v>
          </cell>
        </row>
        <row r="2040">
          <cell r="C2040" t="str">
            <v>ПРЕДПРЕНИМАТЕЛЬ ШАНЬГИН Ю.И.</v>
          </cell>
        </row>
        <row r="2041">
          <cell r="C2041" t="str">
            <v>ПРЕДПРИ-ИЕ ПРОМТЕПЛОЭНЕРГО г.УДОМЛЯ</v>
          </cell>
        </row>
        <row r="2042">
          <cell r="C2042" t="str">
            <v>ПРЕДПРИНИМАТ. ВОРОНИН ОЛЕГ ПЕТРОВИЧ</v>
          </cell>
        </row>
        <row r="2043">
          <cell r="C2043" t="str">
            <v>ПРЕДПРИНИМАТЕЛЬ АБДУРАГИМОВ  Б.А.М.</v>
          </cell>
        </row>
        <row r="2044">
          <cell r="C2044" t="str">
            <v>ПРЕДПРИНИМАТЕЛЬ АВДЮХОВ В.А</v>
          </cell>
        </row>
        <row r="2045">
          <cell r="C2045" t="str">
            <v>ПРЕДПРИНИМАТЕЛЬ АСАУЛЕНКО</v>
          </cell>
        </row>
        <row r="2046">
          <cell r="C2046" t="str">
            <v>ПРЕДПРИНИМАТЕЛЬ АФАНАСЬЕВА Ю.В.</v>
          </cell>
        </row>
        <row r="2047">
          <cell r="C2047" t="str">
            <v>ПРЕДПРИНИМАТЕЛЬ ВАСИЛЬЕВ АНАТ.ДМИТР.</v>
          </cell>
        </row>
        <row r="2048">
          <cell r="C2048" t="str">
            <v>ПРЕДПРИНИМАТЕЛЬ ВОЛКОВ А И</v>
          </cell>
        </row>
        <row r="2049">
          <cell r="C2049" t="str">
            <v>ПРЕДПРИНИМАТЕЛЬ ВОРОНИН О.П.</v>
          </cell>
        </row>
        <row r="2050">
          <cell r="C2050" t="str">
            <v>ПРЕДПРИНИМАТЕЛЬ ГИНИН В.П.</v>
          </cell>
        </row>
        <row r="2051">
          <cell r="C2051" t="str">
            <v>ПРЕДПРИНИМАТЕЛЬ ГИРЕВ ЕВГЕН.АЛЬБЕРТ</v>
          </cell>
        </row>
        <row r="2052">
          <cell r="C2052" t="str">
            <v>ПРЕДПРИНИМАТЕЛЬ ГОЛЫНИНА А И</v>
          </cell>
        </row>
        <row r="2053">
          <cell r="C2053" t="str">
            <v>ПРЕДПРИНИМАТЕЛЬ ГОЛЫНИНА А.И.</v>
          </cell>
        </row>
        <row r="2054">
          <cell r="C2054" t="str">
            <v>ПРЕДПРИНИМАТЕЛЬ ГРАФОВ СЕРГЕЙ ВИКТ</v>
          </cell>
        </row>
        <row r="2055">
          <cell r="C2055" t="str">
            <v>ПРЕДПРИНИМАТЕЛЬ ГУЛЯЕВ  А.К.</v>
          </cell>
        </row>
        <row r="2056">
          <cell r="C2056" t="str">
            <v>ПРЕДПРИНИМАТЕЛЬ ДЗЮБЕНКО</v>
          </cell>
        </row>
        <row r="2057">
          <cell r="C2057" t="str">
            <v>ПРЕДПРИНИМАТЕЛЬ ДИМАНТ</v>
          </cell>
        </row>
        <row r="2058">
          <cell r="C2058" t="str">
            <v>ПРЕДПРИНИМАТЕЛЬ ДОЗМОРОВ В.И</v>
          </cell>
        </row>
        <row r="2059">
          <cell r="C2059" t="str">
            <v>ПРЕДПРИНИМАТЕЛЬ ДОЗМОРОВ В.И</v>
          </cell>
        </row>
        <row r="2060">
          <cell r="C2060" t="str">
            <v>ПРЕДПРИНИМАТЕЛЬ ЕЖОВ С.В.</v>
          </cell>
        </row>
        <row r="2061">
          <cell r="C2061" t="str">
            <v>ПРЕДПРИНИМАТЕЛЬ ЕЛХОВ В.П.</v>
          </cell>
        </row>
        <row r="2062">
          <cell r="C2062" t="str">
            <v>ПРЕДПРИНИМАТЕЛЬ ЗАГУМЕНЦЕВ</v>
          </cell>
        </row>
        <row r="2063">
          <cell r="C2063" t="str">
            <v>ПРЕДПРИНИМАТЕЛЬ ЗАГУМЕНЦЕВА</v>
          </cell>
        </row>
        <row r="2064">
          <cell r="C2064" t="str">
            <v>ПРЕДПРИНИМАТЕЛЬ ЗАГУМЕНЦЕВА</v>
          </cell>
        </row>
        <row r="2065">
          <cell r="C2065" t="str">
            <v>ПРЕДПРИНИМАТЕЛЬ ЗУЕВ А.С.</v>
          </cell>
        </row>
        <row r="2066">
          <cell r="C2066" t="str">
            <v>ПРЕДПРИНИМАТЕЛЬ ИВАШКО СЕРГ.МИХ.</v>
          </cell>
        </row>
        <row r="2067">
          <cell r="C2067" t="str">
            <v>ПРЕДПРИНИМАТЕЛЬ ИПАТОВ</v>
          </cell>
        </row>
        <row r="2068">
          <cell r="C2068" t="str">
            <v>ПРЕДПРИНИМАТЕЛЬ КАТЫРЕВ С.Н.</v>
          </cell>
        </row>
        <row r="2069">
          <cell r="C2069" t="str">
            <v>ПРЕДПРИНИМАТЕЛЬ КАТЫРОВ С.Н.</v>
          </cell>
        </row>
        <row r="2070">
          <cell r="C2070" t="str">
            <v>ПРЕДПРИНИМАТЕЛЬ КОСЫХ А.Ю.</v>
          </cell>
        </row>
        <row r="2071">
          <cell r="C2071" t="str">
            <v>ПРЕДПРИНИМАТЕЛЬ КУЦЕНКО В.Н.</v>
          </cell>
        </row>
        <row r="2072">
          <cell r="C2072" t="str">
            <v>ПРЕДПРИНИМАТЕЛЬ ЛУКЬЯНЕНКО В.Н.</v>
          </cell>
        </row>
        <row r="2073">
          <cell r="C2073" t="str">
            <v>ПРЕДПРИНИМАТЕЛЬ МИХАЛЕВ Д.Ю.</v>
          </cell>
        </row>
        <row r="2074">
          <cell r="C2074" t="str">
            <v>ПРЕДПРИНИМАТЕЛЬ МУРТАЗАЕВ</v>
          </cell>
        </row>
        <row r="2075">
          <cell r="C2075" t="str">
            <v>ПРЕДПРИНИМАТЕЛЬ ОЖГИХИН С.В.</v>
          </cell>
        </row>
        <row r="2076">
          <cell r="C2076" t="str">
            <v>ПРЕДПРИНИМАТЕЛЬ ОСЕТРОВ ВАЛЕРИЙ ПЕТРОВИЧ</v>
          </cell>
        </row>
        <row r="2077">
          <cell r="C2077" t="str">
            <v>ПРЕДПРИНИМАТЕЛЬ ПЛЕЩЕВ Н.К.</v>
          </cell>
        </row>
        <row r="2078">
          <cell r="C2078" t="str">
            <v>ПРЕДПРИНИМАТЕЛЬ ПОДЕНЬЩИКОВА В.В.</v>
          </cell>
        </row>
        <row r="2079">
          <cell r="C2079" t="str">
            <v>ПРЕДПРИНИМАТЕЛЬ ПУТИЛОВ А.А.</v>
          </cell>
        </row>
        <row r="2080">
          <cell r="C2080" t="str">
            <v>ПРЕДПРИНИМАТЕЛЬ СУББОТИН В.М.</v>
          </cell>
        </row>
        <row r="2081">
          <cell r="C2081" t="str">
            <v>ПРЕДПРИНИМАТЕЛЬ ТАМАЕВ РАФКАТ РАМАЗАНОВИЧ</v>
          </cell>
        </row>
        <row r="2082">
          <cell r="C2082" t="str">
            <v>ПРЕДПРИНИМАТЕЛЬ ТАШКИНОВ И.А.</v>
          </cell>
        </row>
        <row r="2083">
          <cell r="C2083" t="str">
            <v>ПРЕДПРИНИМАТЕЛЬ ТКАЧИК В.О.</v>
          </cell>
        </row>
        <row r="2084">
          <cell r="C2084" t="str">
            <v>ПРЕДПРИНИМАТЕЛЬ ШАЙМУХАМЕТОВ</v>
          </cell>
        </row>
        <row r="2085">
          <cell r="C2085" t="str">
            <v>ПРЕДПРИНИМАТЕЛЬ ШУБЕНКОВ СЕРГ.ГЕНН.</v>
          </cell>
        </row>
        <row r="2086">
          <cell r="C2086" t="str">
            <v>ПРЕДПРИЯТИЕ АВИК</v>
          </cell>
        </row>
        <row r="2087">
          <cell r="C2087" t="str">
            <v>ПРЕДПРИЯТИЕ АП-ВОСТОК</v>
          </cell>
        </row>
        <row r="2088">
          <cell r="C2088" t="str">
            <v>ПРЕДПРИЯТИЕ БЕРЕЗНИКИОПТОРГ</v>
          </cell>
        </row>
        <row r="2089">
          <cell r="C2089" t="str">
            <v>ПРЕДПРИЯТИЕ В-1336</v>
          </cell>
        </row>
        <row r="2090">
          <cell r="C2090" t="str">
            <v>ПРЕДПРИЯТИЕ В-1336</v>
          </cell>
        </row>
        <row r="2091">
          <cell r="C2091" t="str">
            <v>ПРЕДПРИЯТИЕ ГЕОТЕХНИК</v>
          </cell>
        </row>
        <row r="2092">
          <cell r="C2092" t="str">
            <v>ПРЕДПРИЯТИЕ ГЕОТЕХНИК</v>
          </cell>
        </row>
        <row r="2093">
          <cell r="C2093" t="str">
            <v>ПРЕДПРИЯТИЕ ИВС-СЕТИ</v>
          </cell>
        </row>
        <row r="2094">
          <cell r="C2094" t="str">
            <v>ПРЕДПРИЯТИЕ ИМПУЛЬС</v>
          </cell>
        </row>
        <row r="2095">
          <cell r="C2095" t="str">
            <v>ПРЕДПРИЯТИЕ ИМПУЛЬС</v>
          </cell>
        </row>
        <row r="2096">
          <cell r="C2096" t="str">
            <v>ПРЕДПРИЯТИЕ КАМЕЛИЯ</v>
          </cell>
        </row>
        <row r="2097">
          <cell r="C2097" t="str">
            <v>ПРЕДПРИЯТИЕ КАМЕЛИЯ</v>
          </cell>
        </row>
        <row r="2098">
          <cell r="C2098" t="str">
            <v>ПРЕДПРИЯТИЕ КТС г.БЕРЕЗНИКИ</v>
          </cell>
        </row>
        <row r="2099">
          <cell r="C2099" t="str">
            <v>ПРЕДПРИЯТИЕ МОЛИТЕП</v>
          </cell>
        </row>
        <row r="2100">
          <cell r="C2100" t="str">
            <v>ПРЕДПРИЯТИЕ НИГЭП г.САНКТ-ПЕТЕРБУРГ</v>
          </cell>
        </row>
        <row r="2101">
          <cell r="C2101" t="str">
            <v>ПРЕДПРИЯТИЕ ПЕРММАШТОРГ</v>
          </cell>
        </row>
        <row r="2102">
          <cell r="C2102" t="str">
            <v>ПРЕДПРИЯТИЕ ПЕРММРАМОР</v>
          </cell>
        </row>
        <row r="2103">
          <cell r="C2103" t="str">
            <v>ПРЕДПРИЯТИЕ ПЕРМОПТОРГ</v>
          </cell>
        </row>
        <row r="2104">
          <cell r="C2104" t="str">
            <v>ПРЕДПРИЯТИЕ ПЕРМХИМОПТОРГ</v>
          </cell>
        </row>
        <row r="2105">
          <cell r="C2105" t="str">
            <v>ПРЕДПРИЯТИЕ РОССИЙСКИЙ ИНСТРУМЕНТ</v>
          </cell>
        </row>
        <row r="2106">
          <cell r="C2106" t="str">
            <v>ПРЕДПРИЯТИЕ УРАЛСЕРИЯ</v>
          </cell>
        </row>
        <row r="2107">
          <cell r="C2107" t="str">
            <v>ПРЕДПРИЯТИЕ ЭКОБОС</v>
          </cell>
        </row>
        <row r="2108">
          <cell r="C2108" t="str">
            <v>ПРЕДПРИЯТИЕ ЭСКОМ г.ЕКАТЕРИНБУРГ</v>
          </cell>
        </row>
        <row r="2109">
          <cell r="C2109" t="str">
            <v>ПРЕДСТАВИТЕЛЬСКИЕ РАСХОДЫ</v>
          </cell>
        </row>
        <row r="2110">
          <cell r="C2110" t="str">
            <v>ПРЕДСТАВИТЕЛЬСТВО 1 АФ ВОСТОК</v>
          </cell>
        </row>
        <row r="2111">
          <cell r="C2111" t="str">
            <v>ПРЕДСТАВИТЕЛЬСТВО 7 ВНГЭМ</v>
          </cell>
        </row>
        <row r="2112">
          <cell r="C2112" t="str">
            <v>ПРИИСК УРАЛАЛМАЗ</v>
          </cell>
        </row>
        <row r="2113">
          <cell r="C2113" t="str">
            <v>ПРИИСК УРАЛАЛМАЗ</v>
          </cell>
        </row>
        <row r="2114">
          <cell r="C2114" t="str">
            <v>ПРИКАСПИЙСКИЙ НЕФТЕК</v>
          </cell>
        </row>
        <row r="2115">
          <cell r="C2115" t="str">
            <v>ПРОДУКТЫ МОДУЛЯ</v>
          </cell>
        </row>
        <row r="2116">
          <cell r="C2116" t="str">
            <v>ПРОДУКЦИЯ МОДУЛЯ</v>
          </cell>
        </row>
        <row r="2117">
          <cell r="C2117" t="str">
            <v>ПРОИЗВ.КООП.ТЕРМОСТА</v>
          </cell>
        </row>
        <row r="2118">
          <cell r="C2118" t="str">
            <v>ПРОИЗВ.МЕТ.ТЕЛ.СВ.</v>
          </cell>
        </row>
        <row r="2119">
          <cell r="C2119" t="str">
            <v>ПРОИЗ-ВО М/Д ГОРОД.ТЕЛ.</v>
          </cell>
        </row>
        <row r="2120">
          <cell r="C2120" t="str">
            <v>ПРОИЗВОДСТ.КООПЕРАТИВ ТЕРМОТЕСТ</v>
          </cell>
        </row>
        <row r="2121">
          <cell r="C2121" t="str">
            <v>ПРОКУРАТУРА Г.ДОБРЯНКА</v>
          </cell>
        </row>
        <row r="2122">
          <cell r="C2122" t="str">
            <v>ПРОФЕС.АНС-ЛЬ ФОЛ-РА УРАЛА ПРИКАМЬЕ</v>
          </cell>
        </row>
        <row r="2123">
          <cell r="C2123" t="str">
            <v>ПРОФИЛ.ГРУЗИС Т.П.</v>
          </cell>
        </row>
        <row r="2124">
          <cell r="C2124" t="str">
            <v>ПРОФИЛАКТОРИЙ</v>
          </cell>
        </row>
        <row r="2125">
          <cell r="C2125" t="str">
            <v>ПРОФИЛАКТОРИЙ</v>
          </cell>
        </row>
        <row r="2126">
          <cell r="C2126" t="str">
            <v>ПРОФИЛАКТОРИЙ             за баланс</v>
          </cell>
        </row>
        <row r="2127">
          <cell r="C2127" t="str">
            <v>ПРОФИЛАКТОРИЙ ЧАЙКА</v>
          </cell>
        </row>
        <row r="2128">
          <cell r="C2128" t="str">
            <v>ПРОФИЛАКТОРИЙ ЧАЙКА</v>
          </cell>
        </row>
        <row r="2129">
          <cell r="C2129" t="str">
            <v>ПРОФИЛАКТОРИЙ ЧАЙКА</v>
          </cell>
        </row>
        <row r="2130">
          <cell r="C2130" t="str">
            <v>ПРОФКОМ НГДУ ПОЛАЗНАНЕФТЬ</v>
          </cell>
        </row>
        <row r="2131">
          <cell r="C2131" t="str">
            <v>ПРОФКОМ НГДУ ПОЛАЗНАНЕФТЬ</v>
          </cell>
        </row>
        <row r="2132">
          <cell r="C2132" t="str">
            <v>ПРОФКОМ НГДУ ПОЛАЗНАНЕФТЬ</v>
          </cell>
        </row>
        <row r="2133">
          <cell r="C2133" t="str">
            <v>ПРОФКОМ НГДУ ЧЕРНУШКАНЕФТЬ</v>
          </cell>
        </row>
        <row r="2134">
          <cell r="C2134" t="str">
            <v>ПРОФКОМ ОПН</v>
          </cell>
        </row>
        <row r="2135">
          <cell r="C2135" t="str">
            <v>ПРОФКОМ ОПН</v>
          </cell>
        </row>
        <row r="2136">
          <cell r="C2136" t="str">
            <v>ПРОФСОЮЗНЫЙ КОМИТЕТ ООО КАМА-НЕФТЬ</v>
          </cell>
        </row>
        <row r="2137">
          <cell r="C2137" t="str">
            <v>ПРОЦЕНТОВАЯ С/ОДЕЖДА</v>
          </cell>
        </row>
        <row r="2138">
          <cell r="C2138" t="str">
            <v>ПРОЧИЕ ОРГАНИЗАЦИИ</v>
          </cell>
        </row>
        <row r="2139">
          <cell r="C2139" t="str">
            <v>ПРОЧИЕ ОРГАНИЗАЦИИ</v>
          </cell>
        </row>
        <row r="2140">
          <cell r="C2140" t="str">
            <v>ПРС</v>
          </cell>
        </row>
        <row r="2141">
          <cell r="C2141" t="str">
            <v>ПРС                       за баланс</v>
          </cell>
        </row>
        <row r="2142">
          <cell r="C2142" t="str">
            <v>ПРУПН</v>
          </cell>
        </row>
        <row r="2143">
          <cell r="C2143" t="str">
            <v>ПРУПН                     за баланс</v>
          </cell>
        </row>
        <row r="2144">
          <cell r="C2144" t="str">
            <v>ПРУПН АНТИПЬЕВА Т.В.</v>
          </cell>
        </row>
        <row r="2145">
          <cell r="C2145" t="str">
            <v>ПРУПН ГОРОБЦОВ Е.А.</v>
          </cell>
        </row>
        <row r="2146">
          <cell r="C2146" t="str">
            <v>ПРУПН ДОЛМАТОВ С.В.</v>
          </cell>
        </row>
        <row r="2147">
          <cell r="C2147" t="str">
            <v>ПРУПН ДОЛМАТОВ С.В.СЧ.10/3</v>
          </cell>
        </row>
        <row r="2148">
          <cell r="C2148" t="str">
            <v>ПРУПН СУББОТИН А.С.</v>
          </cell>
        </row>
        <row r="2149">
          <cell r="C2149" t="str">
            <v>ПРЦЭО</v>
          </cell>
        </row>
        <row r="2150">
          <cell r="C2150" t="str">
            <v>ПРЦЭО                     за баланс</v>
          </cell>
        </row>
        <row r="2151">
          <cell r="C2151" t="str">
            <v>ПРЦЭО АЛИКИН С.В.</v>
          </cell>
        </row>
        <row r="2152">
          <cell r="C2152" t="str">
            <v>ПРЦЭО ГОНТАРЬ А.П.</v>
          </cell>
        </row>
        <row r="2153">
          <cell r="C2153" t="str">
            <v>ПРЦЭО ЗУЕВ В.А.</v>
          </cell>
        </row>
        <row r="2154">
          <cell r="C2154" t="str">
            <v>ПРЦЭО ЗУЕВ В.А.-10/3</v>
          </cell>
        </row>
        <row r="2155">
          <cell r="C2155" t="str">
            <v>ПРЦЭО КОРКОДИНОВА С.Б.</v>
          </cell>
        </row>
        <row r="2156">
          <cell r="C2156" t="str">
            <v>ПРЦЭО ЛИСИЦЫН В.М.</v>
          </cell>
        </row>
        <row r="2157">
          <cell r="C2157" t="str">
            <v>ПРЦЭО ОВСЯННИКОВ В.С.</v>
          </cell>
        </row>
        <row r="2158">
          <cell r="C2158" t="str">
            <v>ПРЦЭО ХУДЯКОВ В.А.</v>
          </cell>
        </row>
        <row r="2159">
          <cell r="C2159" t="str">
            <v>ПРЦЭОиЭС</v>
          </cell>
        </row>
        <row r="2160">
          <cell r="C2160" t="str">
            <v>ПРЦЭОиЭС                  за баланс</v>
          </cell>
        </row>
        <row r="2161">
          <cell r="C2161" t="str">
            <v>ПРЦЭОиЭС БЕЛОВ С.В.</v>
          </cell>
        </row>
        <row r="2162">
          <cell r="C2162" t="str">
            <v>ПРЦЭОиЭС ДМИТРИК Р.А</v>
          </cell>
        </row>
        <row r="2163">
          <cell r="C2163" t="str">
            <v>ПРЦЭОиЭС ЗУЕВА Л.В.</v>
          </cell>
        </row>
        <row r="2164">
          <cell r="C2164" t="str">
            <v>ПРЦЭОиЭС ЗУЕВА Л.В.</v>
          </cell>
        </row>
        <row r="2165">
          <cell r="C2165" t="str">
            <v>ПРЦЭОиЭС КАМЕНЕВ В.В.</v>
          </cell>
        </row>
        <row r="2166">
          <cell r="C2166" t="str">
            <v>ПРЦЭОиЭС КИСИЛЕВ Е.Ф.</v>
          </cell>
        </row>
        <row r="2167">
          <cell r="C2167" t="str">
            <v>ПРЦЭОиЭС КУКУШКИН Б.С.</v>
          </cell>
        </row>
        <row r="2168">
          <cell r="C2168" t="str">
            <v>ПРЦЭОиЭС КУКУШКИН Б.С.</v>
          </cell>
        </row>
        <row r="2169">
          <cell r="C2169" t="str">
            <v>ПРЦЭОиЭС МОКРОВ С.В.</v>
          </cell>
        </row>
        <row r="2170">
          <cell r="C2170" t="str">
            <v>ПРЦЭОиЭС МОКРОВ С.В.</v>
          </cell>
        </row>
        <row r="2171">
          <cell r="C2171" t="str">
            <v>ПРЦЭОиЭС ПЕРМИНОВ В.Я.</v>
          </cell>
        </row>
        <row r="2172">
          <cell r="C2172" t="str">
            <v>ПРЦЭОиЭС РОМАНОВ Н.В</v>
          </cell>
        </row>
        <row r="2173">
          <cell r="C2173" t="str">
            <v>ПРЦЭОиЭС РОМАНОВ Н.В.</v>
          </cell>
        </row>
        <row r="2174">
          <cell r="C2174" t="str">
            <v>ПРЦЭОиЭС РУСИНОВ М.Г</v>
          </cell>
        </row>
        <row r="2175">
          <cell r="C2175" t="str">
            <v>ПРЦЭОиЭС РУСИНОВ М.Г</v>
          </cell>
        </row>
        <row r="2176">
          <cell r="C2176" t="str">
            <v>ПРЦЭОиЭС СТЕПАНОВ В.А.</v>
          </cell>
        </row>
        <row r="2177">
          <cell r="C2177" t="str">
            <v>ПРЦЭОиЭС ТОКАРЬ С.В.</v>
          </cell>
        </row>
        <row r="2178">
          <cell r="C2178" t="str">
            <v>ПСК ИСКАТЕЛЬ</v>
          </cell>
        </row>
        <row r="2179">
          <cell r="C2179" t="str">
            <v>ПСК ИСКАТЕЛЬ</v>
          </cell>
        </row>
        <row r="2180">
          <cell r="C2180" t="str">
            <v>ПСК ПЛАМЯ</v>
          </cell>
        </row>
        <row r="2181">
          <cell r="C2181" t="str">
            <v>ПСК ПЛАМЯ</v>
          </cell>
        </row>
        <row r="2182">
          <cell r="C2182" t="str">
            <v>ПСК ПОИСК</v>
          </cell>
        </row>
        <row r="2183">
          <cell r="C2183" t="str">
            <v>ПСК ПОИСК</v>
          </cell>
        </row>
        <row r="2184">
          <cell r="C2184" t="str">
            <v>ПСМУ ТРЕСТ ВГСМ</v>
          </cell>
        </row>
        <row r="2185">
          <cell r="C2185" t="str">
            <v>ПСО</v>
          </cell>
        </row>
        <row r="2186">
          <cell r="C2186" t="str">
            <v>ПСО</v>
          </cell>
        </row>
        <row r="2187">
          <cell r="C2187" t="str">
            <v>ПСО                       за баланс</v>
          </cell>
        </row>
        <row r="2188">
          <cell r="C2188" t="str">
            <v>ПСО ВОРОБЬЕВ А.С.</v>
          </cell>
        </row>
        <row r="2189">
          <cell r="C2189" t="str">
            <v>ПСО ПЕРМГОРГРАЖДАНСТРОЙ</v>
          </cell>
        </row>
        <row r="2190">
          <cell r="C2190" t="str">
            <v>ПСО ПЕРМГОРГРАЖДАНСТРОЙ</v>
          </cell>
        </row>
        <row r="2191">
          <cell r="C2191" t="str">
            <v>ПСУ ФИЛИАЛ КВАНТ</v>
          </cell>
        </row>
        <row r="2192">
          <cell r="C2192" t="str">
            <v>ПСХ</v>
          </cell>
        </row>
        <row r="2193">
          <cell r="C2193" t="str">
            <v>ПСХ БАЖИНА Т.И.</v>
          </cell>
        </row>
        <row r="2194">
          <cell r="C2194" t="str">
            <v>ПСХ КОСЫГИН С.Н.</v>
          </cell>
        </row>
        <row r="2195">
          <cell r="C2195" t="str">
            <v>ПСХ КОСЫГИН С.Н.</v>
          </cell>
        </row>
        <row r="2196">
          <cell r="C2196" t="str">
            <v>ПСХ ПАНЬКОВА Л.В.</v>
          </cell>
        </row>
        <row r="2197">
          <cell r="C2197" t="str">
            <v>ПСХ ФОКЕЕВ А.Г.</v>
          </cell>
        </row>
        <row r="2198">
          <cell r="C2198" t="str">
            <v>ПСХ ФОКЕЕВ А.Г.-10/3</v>
          </cell>
        </row>
        <row r="2199">
          <cell r="C2199" t="str">
            <v>ПСХ ШИТОВА И.Г.</v>
          </cell>
        </row>
        <row r="2200">
          <cell r="C2200" t="str">
            <v>ПСШ</v>
          </cell>
        </row>
        <row r="2201">
          <cell r="C2201" t="str">
            <v>ПТК ЛИМОН</v>
          </cell>
        </row>
        <row r="2202">
          <cell r="C2202" t="str">
            <v>ПТП СПЕЦРЕМЭНЕРГОТЕХ</v>
          </cell>
        </row>
        <row r="2203">
          <cell r="C2203" t="str">
            <v>ПУ ИЖТЕХОБСЛУЖИВАНИЯ</v>
          </cell>
        </row>
        <row r="2204">
          <cell r="C2204" t="str">
            <v>ПУТЕВКИ НАСЕЛЕНИЮ</v>
          </cell>
        </row>
        <row r="2205">
          <cell r="C2205" t="str">
            <v>ПУТИЛОВ В.Б.</v>
          </cell>
        </row>
        <row r="2206">
          <cell r="C2206" t="str">
            <v>ПУТИЛОВ О.В.</v>
          </cell>
        </row>
        <row r="2207">
          <cell r="C2207" t="str">
            <v>ПФ НПО ГИПХ</v>
          </cell>
        </row>
        <row r="2208">
          <cell r="C2208" t="str">
            <v>РАБОЧИЕ И СЛУЖАЩИЕ</v>
          </cell>
        </row>
        <row r="2209">
          <cell r="C2209" t="str">
            <v>РАБСКИЙ М.И.</v>
          </cell>
        </row>
        <row r="2210">
          <cell r="C2210" t="str">
            <v>РАЗЕПИН К.Л.</v>
          </cell>
        </row>
        <row r="2211">
          <cell r="C2211" t="str">
            <v>РАЙОННЫЙ БЮДЖЕТ</v>
          </cell>
        </row>
        <row r="2212">
          <cell r="C2212" t="str">
            <v>РАЙОННЫЙ БЮДЖЕТ Г.АЛЕКСАНДРОВСК</v>
          </cell>
        </row>
        <row r="2213">
          <cell r="C2213" t="str">
            <v>РАЙОННЫЙ КОМИТЕТ ОХР.ПРИРОДЫ</v>
          </cell>
        </row>
        <row r="2214">
          <cell r="C2214" t="str">
            <v>РАЙОННЫЙ ЦЕНТР ГСЭН В СВЕРДЛОВСКОМ Р-НЕ Г.ПЕРМИ</v>
          </cell>
        </row>
        <row r="2215">
          <cell r="C2215" t="str">
            <v>РАЙОННЫЙ ЦЕНТР ГСЭН В СВЕРДЛОВСКОМ Р-НЕ Г.ПЕРМИ</v>
          </cell>
        </row>
        <row r="2216">
          <cell r="C2216" t="str">
            <v>РАСТЕНИЕВОДСТВО</v>
          </cell>
        </row>
        <row r="2217">
          <cell r="C2217" t="str">
            <v>РАСШИФРОВКА</v>
          </cell>
        </row>
        <row r="2218">
          <cell r="C2218" t="str">
            <v>РАСШИФРОВКА</v>
          </cell>
        </row>
        <row r="2219">
          <cell r="C2219" t="str">
            <v>РЕАЛИЗАЦИЯ С/Х ПРОДУКЦИИ</v>
          </cell>
        </row>
        <row r="2220">
          <cell r="C2220" t="str">
            <v>РЕВУТСКАЯ Н.А.</v>
          </cell>
        </row>
        <row r="2221">
          <cell r="C2221" t="str">
            <v>РЕГИОН.НАУЧ.-ТЕХНОЛОГ.ЦЕНТР ВНИИНЕФ</v>
          </cell>
        </row>
        <row r="2222">
          <cell r="C2222" t="str">
            <v>РЕГИОНАЛЬН.ИНСПЕК.ПО З</v>
          </cell>
        </row>
        <row r="2223">
          <cell r="C2223" t="str">
            <v>РЕГИОНАЛЬНОЕ УПРАВЛЕНИЕ ФСБ ПО ПЕРМСКОЙ ОБЛ.</v>
          </cell>
        </row>
        <row r="2224">
          <cell r="C2224" t="str">
            <v>РЕГИОНАЛЬНЫЙ МЕЖОТР.ЦЕНТР ПЕРЕПОДГОТОВКИ КАДРОВ</v>
          </cell>
        </row>
        <row r="2225">
          <cell r="C2225" t="str">
            <v>РЕГИОНАЛЬНЫЙ МЕЖОТРАСЛ.ЦЕНТР ПЕРЕПОДГОТОВКИ КАДРОВ</v>
          </cell>
        </row>
        <row r="2226">
          <cell r="C2226" t="str">
            <v>РЕГИОНАЛЬНЫЙ ЦЕНТР Т Д Ф</v>
          </cell>
        </row>
        <row r="2227">
          <cell r="C2227" t="str">
            <v>РЕДАКЦИЯ ГАЗЕТЫ КАМСКАЯ</v>
          </cell>
        </row>
        <row r="2228">
          <cell r="C2228" t="str">
            <v>РЕДАКЦИЯ ГАЗЕТЫ ПРОФСОЮЗНЫЙ КУРЬЕР</v>
          </cell>
        </row>
        <row r="2229">
          <cell r="C2229" t="str">
            <v>РЕДАКЦИЯ ГАЗЕТЫ ЭКОНОМИКА</v>
          </cell>
        </row>
        <row r="2230">
          <cell r="C2230" t="str">
            <v>РЕДАКЦИЯ ЖУРНАЛА ИЗОБРЕТ.И РАЦИОН.</v>
          </cell>
        </row>
        <row r="2231">
          <cell r="C2231" t="str">
            <v>РЕКЛАМНАЯ СТУДИЯ</v>
          </cell>
        </row>
        <row r="2232">
          <cell r="C2232" t="str">
            <v>РЕМОНТ БОЛЬНИЦЫ</v>
          </cell>
        </row>
        <row r="2233">
          <cell r="C2233" t="str">
            <v>РЕСПУБЛ. ИН-Т ПОВЫШЕНИЯ КВАЛИФИКАЦИ</v>
          </cell>
        </row>
        <row r="2234">
          <cell r="C2234" t="str">
            <v>РЕСПУБЛ. ИТУ</v>
          </cell>
        </row>
        <row r="2235">
          <cell r="C2235" t="str">
            <v>РМЦ</v>
          </cell>
        </row>
        <row r="2236">
          <cell r="C2236" t="str">
            <v>РМЦПК ПРИ ПГТУ ПУТТ</v>
          </cell>
        </row>
        <row r="2237">
          <cell r="C2237" t="str">
            <v>РОДИТЕЛЬСКИЕ ВЗНОСЫ</v>
          </cell>
        </row>
        <row r="2238">
          <cell r="C2238" t="str">
            <v>РОДИТЕЛЬСКИЕ ВЗНОСЫ ЗА Д/С</v>
          </cell>
        </row>
        <row r="2239">
          <cell r="C2239" t="str">
            <v>РОЖКОВ О.М.</v>
          </cell>
        </row>
        <row r="2240">
          <cell r="C2240" t="str">
            <v>РОМАНОВ Н.В.</v>
          </cell>
        </row>
        <row r="2241">
          <cell r="C2241" t="str">
            <v>РОМАНОВСКИЙ С/СОВЕТ</v>
          </cell>
        </row>
        <row r="2242">
          <cell r="C2242" t="str">
            <v>РОМАНОВСКИЙ С/СОВЕТ</v>
          </cell>
        </row>
        <row r="2243">
          <cell r="C2243" t="str">
            <v>РПК ПЕРМКИНОРЕМОНТ</v>
          </cell>
        </row>
        <row r="2244">
          <cell r="C2244" t="str">
            <v>РСУ</v>
          </cell>
        </row>
        <row r="2245">
          <cell r="C2245" t="str">
            <v>РСУ                       за баланс</v>
          </cell>
        </row>
        <row r="2246">
          <cell r="C2246" t="str">
            <v>РСУ ДОРОЩЕНКО Н.Р.</v>
          </cell>
        </row>
        <row r="2247">
          <cell r="C2247" t="str">
            <v>РСУ ПАНКРАТОВА Л.К.</v>
          </cell>
        </row>
        <row r="2248">
          <cell r="C2248" t="str">
            <v>РСУ САВЕНКО Л.П.</v>
          </cell>
        </row>
        <row r="2249">
          <cell r="C2249" t="str">
            <v>РСУ ФУРИН А.В.</v>
          </cell>
        </row>
        <row r="2250">
          <cell r="C2250" t="str">
            <v>РСУ ЧЕСНОКОВА З.А.</v>
          </cell>
        </row>
        <row r="2251">
          <cell r="C2251" t="str">
            <v>РТК</v>
          </cell>
        </row>
        <row r="2252">
          <cell r="C2252" t="str">
            <v>РУСАНОВА Г.А.</v>
          </cell>
        </row>
        <row r="2253">
          <cell r="C2253" t="str">
            <v>РУСИНОВ М.Г.</v>
          </cell>
        </row>
        <row r="2254">
          <cell r="C2254" t="str">
            <v>РУСИНОВА Л.А.</v>
          </cell>
        </row>
        <row r="2255">
          <cell r="C2255" t="str">
            <v>РУФПС</v>
          </cell>
        </row>
        <row r="2256">
          <cell r="C2256" t="str">
            <v>РУФПС</v>
          </cell>
        </row>
        <row r="2257">
          <cell r="C2257" t="str">
            <v>РЯБИНИНСКИЙ СПЛАВНОЙ РЕЙД</v>
          </cell>
        </row>
        <row r="2258">
          <cell r="C2258" t="str">
            <v>РЯБИНИНСКИЙ СПЛАВНОЙ РЕЙД</v>
          </cell>
        </row>
        <row r="2259">
          <cell r="C2259" t="str">
            <v>САВЕНКО Л.П.</v>
          </cell>
        </row>
        <row r="2260">
          <cell r="C2260" t="str">
            <v>САД.КООПЕРАТИВ АВИАДВИГАТЕЛЬ</v>
          </cell>
        </row>
        <row r="2261">
          <cell r="C2261" t="str">
            <v>САД.КООПЕРАТИВ АЛЕШИХА</v>
          </cell>
        </row>
        <row r="2262">
          <cell r="C2262" t="str">
            <v>САД.КООПЕРАТИВ ЛУЧ</v>
          </cell>
        </row>
        <row r="2263">
          <cell r="C2263" t="str">
            <v>САД.КООПЕРАТИВ МИЧУРИН</v>
          </cell>
        </row>
        <row r="2264">
          <cell r="C2264" t="str">
            <v>САД.КООПЕРАТИВ НЕФТЯНИК</v>
          </cell>
        </row>
        <row r="2265">
          <cell r="C2265" t="str">
            <v>САД.КООПЕРАТИВ НИВА</v>
          </cell>
        </row>
        <row r="2266">
          <cell r="C2266" t="str">
            <v>САД.КООПЕРАТИВ ОГОНЕК</v>
          </cell>
        </row>
        <row r="2267">
          <cell r="C2267" t="str">
            <v>САД.КООПЕРАТИВ ПРИБРЕЖНЫЙ</v>
          </cell>
        </row>
        <row r="2268">
          <cell r="C2268" t="str">
            <v>САД.КООПЕРАТИВ РОДНИЧОК</v>
          </cell>
        </row>
        <row r="2269">
          <cell r="C2269" t="str">
            <v>САД.КООПЕРАТИВ ФАКЕЛ</v>
          </cell>
        </row>
        <row r="2270">
          <cell r="C2270" t="str">
            <v>САД.КООПЕРАТИВ ЭНЕРГИЯ</v>
          </cell>
        </row>
        <row r="2271">
          <cell r="C2271" t="str">
            <v>САЖИНА И.Н.</v>
          </cell>
        </row>
        <row r="2272">
          <cell r="C2272" t="str">
            <v>САЛАХОВ Р.Х.</v>
          </cell>
        </row>
        <row r="2273">
          <cell r="C2273" t="str">
            <v>САЛЬНИКОВ С.С.</v>
          </cell>
        </row>
        <row r="2274">
          <cell r="C2274" t="str">
            <v>САМАРСКИЙ З-Д ИМЗ.ТРАНСФОРМАТ.</v>
          </cell>
        </row>
        <row r="2275">
          <cell r="C2275" t="str">
            <v>САНАТОРИЙ КЛЮЧИ</v>
          </cell>
        </row>
        <row r="2276">
          <cell r="C2276" t="str">
            <v>САНАТОРИЙ-ПРОФИЛАКТ.АО КАМКАБЕЛЬ</v>
          </cell>
        </row>
        <row r="2277">
          <cell r="C2277" t="str">
            <v>САРАТОВСКИЙ З-Д РЕЗ.МЕТ.КО</v>
          </cell>
        </row>
        <row r="2278">
          <cell r="C2278" t="str">
            <v>САХАЛИНСКАЯ КОМПАНИЯ САКО</v>
          </cell>
        </row>
        <row r="2279">
          <cell r="C2279" t="str">
            <v>СВЕРДЛ.РАЙОН.ПР.</v>
          </cell>
        </row>
        <row r="2280">
          <cell r="C2280" t="str">
            <v>СВЯТО-ТРОИЦКАЯ ЦЕРКОВЬ ПРИХ.СОВЕТ</v>
          </cell>
        </row>
        <row r="2281">
          <cell r="C2281" t="str">
            <v>СВЯТО-ТРОИЦКАЯ ЦЕРКОВЬ ПРИХ.СОВЕТ</v>
          </cell>
        </row>
        <row r="2282">
          <cell r="C2282" t="str">
            <v>СЕВЕРН.ОТД.ЭНЕРГОНАДЗОРА Г.БЕРЕЗНИК</v>
          </cell>
        </row>
        <row r="2283">
          <cell r="C2283" t="str">
            <v>СЕВЕРНОЕ ТЕРРИТОРИАЛЬНОЕ УПР.ЭКОЛОГ.КОНТРОЛЯ</v>
          </cell>
        </row>
        <row r="2284">
          <cell r="C2284" t="str">
            <v>СЕВЕРО-ВОСТОЧНАЯ ВОЕНИЗ.ЧАСТЬ(ПЕРМСК.ВОЕНИЗ.ОТРЯД)</v>
          </cell>
        </row>
        <row r="2285">
          <cell r="C2285" t="str">
            <v>СЕВЕРО-ВОСТОЧНАЯ ВОЕНИЗ.ЧАСТЬ(ПЕРМСК.ВОЕНИЗ.ОТРЯД)</v>
          </cell>
        </row>
        <row r="2286">
          <cell r="C2286" t="str">
            <v>СЕЙСМОПАРТИЯ</v>
          </cell>
        </row>
        <row r="2287">
          <cell r="C2287" t="str">
            <v>СЕЛЬСКИЕ ДОРОГИ</v>
          </cell>
        </row>
        <row r="2288">
          <cell r="C2288" t="str">
            <v>СЕЛЬСТРОЙ-1</v>
          </cell>
        </row>
        <row r="2289">
          <cell r="C2289" t="str">
            <v>СЕЛЬСТРОЙ-1</v>
          </cell>
        </row>
        <row r="2290">
          <cell r="C2290" t="str">
            <v>СЕМЕНОВОДЧЕСКАЯ ст.КУНГУР</v>
          </cell>
        </row>
        <row r="2291">
          <cell r="C2291" t="str">
            <v>СЕМЕРИКОВ В.Н.</v>
          </cell>
        </row>
        <row r="2292">
          <cell r="C2292" t="str">
            <v>СЕМИОЗ. РАЙЗАГОТКОНТОРА</v>
          </cell>
        </row>
        <row r="2293">
          <cell r="C2293" t="str">
            <v>СЕНО ФОКЕЕВ А.Г.</v>
          </cell>
        </row>
        <row r="2294">
          <cell r="C2294" t="str">
            <v>СЕРАФИМОВСКИЙ МЗ</v>
          </cell>
        </row>
        <row r="2295">
          <cell r="C2295" t="str">
            <v>СЕРАФИМОВСКИЙ ОПЫТНЫЙ З-Д пос.СЕРАФ</v>
          </cell>
        </row>
        <row r="2296">
          <cell r="C2296" t="str">
            <v>СЕРКОВ А.Н.</v>
          </cell>
        </row>
        <row r="2297">
          <cell r="C2297" t="str">
            <v>СЕСЮНИН Ю.А.</v>
          </cell>
        </row>
        <row r="2298">
          <cell r="C2298" t="str">
            <v>СИВАКОВ В.А.</v>
          </cell>
        </row>
        <row r="2299">
          <cell r="C2299" t="str">
            <v>СКБ МОТЕКС</v>
          </cell>
        </row>
        <row r="2300">
          <cell r="C2300" t="str">
            <v>СКБ НАУЧПРИБОРОСТР.</v>
          </cell>
        </row>
        <row r="2301">
          <cell r="C2301" t="str">
            <v>СМИРНОВ Н.И.</v>
          </cell>
        </row>
        <row r="2302">
          <cell r="C2302" t="str">
            <v>СМИРНОВ Н.И.</v>
          </cell>
        </row>
        <row r="2303">
          <cell r="C2303" t="str">
            <v>СМИРНОВ С.М.</v>
          </cell>
        </row>
        <row r="2304">
          <cell r="C2304" t="str">
            <v>СМИРНОВА Е.М.</v>
          </cell>
        </row>
        <row r="2305">
          <cell r="C2305" t="str">
            <v>СМУ МХ-42</v>
          </cell>
        </row>
        <row r="2306">
          <cell r="C2306" t="str">
            <v>СМУ-1 ТРЕСТ ВНГСТМ</v>
          </cell>
        </row>
        <row r="2307">
          <cell r="C2307" t="str">
            <v>СМУ-5 ТР 15</v>
          </cell>
        </row>
        <row r="2308">
          <cell r="C2308" t="str">
            <v>СМУ-6 ТР.БЕРЕЗНИКИХИМСТРОЙ</v>
          </cell>
        </row>
        <row r="2309">
          <cell r="C2309" t="str">
            <v>СМУ-6 ТР.БЕРЕЗНИКИХИМСТРОЙ</v>
          </cell>
        </row>
        <row r="2310">
          <cell r="C2310" t="str">
            <v>СМУ-6 ТРЕСТ БПСО</v>
          </cell>
        </row>
        <row r="2311">
          <cell r="C2311" t="str">
            <v>СМУ-6 ТРЕСТ БПСО</v>
          </cell>
        </row>
        <row r="2312">
          <cell r="C2312" t="str">
            <v>СМУ-8</v>
          </cell>
        </row>
        <row r="2313">
          <cell r="C2313" t="str">
            <v>СОВХОЗ ВЕРХНЕМУЛЛИНСКИЙ</v>
          </cell>
        </row>
        <row r="2314">
          <cell r="C2314" t="str">
            <v>СОВХОЗ ВОСХОД</v>
          </cell>
        </row>
        <row r="2315">
          <cell r="C2315" t="str">
            <v>СОВХОЗ ДЕМЕНЕВСКИЙ</v>
          </cell>
        </row>
        <row r="2316">
          <cell r="C2316" t="str">
            <v>СОВХОЗ ИСТОК</v>
          </cell>
        </row>
        <row r="2317">
          <cell r="C2317" t="str">
            <v>СОВХОЗ ИСТОК</v>
          </cell>
        </row>
        <row r="2318">
          <cell r="C2318" t="str">
            <v>СОВХОЗ КАСИБСКИЙ</v>
          </cell>
        </row>
        <row r="2319">
          <cell r="C2319" t="str">
            <v>СОВХОЗ КОСЬВИНСКИЙ</v>
          </cell>
        </row>
        <row r="2320">
          <cell r="C2320" t="str">
            <v>СОВХОЗ КУХТЫМСКИЙ</v>
          </cell>
        </row>
        <row r="2321">
          <cell r="C2321" t="str">
            <v>СОВХОЗ КУХТЫМСКИЙ</v>
          </cell>
        </row>
        <row r="2322">
          <cell r="C2322" t="str">
            <v>СОВХОЗ ЛЕНСКИЙ</v>
          </cell>
        </row>
        <row r="2323">
          <cell r="C2323" t="str">
            <v>СОВХОЗ ЛЕНСКИЙ</v>
          </cell>
        </row>
        <row r="2324">
          <cell r="C2324" t="str">
            <v>СОВХОЗ ЛЕСНОЙ</v>
          </cell>
        </row>
        <row r="2325">
          <cell r="C2325" t="str">
            <v>СОВХОЗ НИВА</v>
          </cell>
        </row>
        <row r="2326">
          <cell r="C2326" t="str">
            <v>СОВХОЗ НИКУЛИНСКИЙ</v>
          </cell>
        </row>
        <row r="2327">
          <cell r="C2327" t="str">
            <v>СОВХОЗ СЕВЕРНЫЙ</v>
          </cell>
        </row>
        <row r="2328">
          <cell r="C2328" t="str">
            <v>СОВХОЗ ЦВЕТЫ ПРИКАМЬЯ</v>
          </cell>
        </row>
        <row r="2329">
          <cell r="C2329" t="str">
            <v>СОВХОЗ ЦЕЛИННЫЙ</v>
          </cell>
        </row>
        <row r="2330">
          <cell r="C2330" t="str">
            <v>СОВХОЗ ЦЕЛИННЫЙ</v>
          </cell>
        </row>
        <row r="2331">
          <cell r="C2331" t="str">
            <v>СОДЕРЖАНИЕ СТАДИОНА</v>
          </cell>
        </row>
        <row r="2332">
          <cell r="C2332" t="str">
            <v>СОЛАРЕВ А.Ф.</v>
          </cell>
        </row>
        <row r="2333">
          <cell r="C2333" t="str">
            <v>СОЛАРЕВ Ю.А.</v>
          </cell>
        </row>
        <row r="2334">
          <cell r="C2334" t="str">
            <v>СОЛАРЕВА М.И.</v>
          </cell>
        </row>
        <row r="2335">
          <cell r="C2335" t="str">
            <v>СОЛИКАМСКАЯ БАЗА ОАО ПЕРМТЕХСНАБНЕФЬ</v>
          </cell>
        </row>
        <row r="2336">
          <cell r="C2336" t="str">
            <v>СОЛИКАМСКАЯ ЛАБ-РИЯ МОНИТОРИНГА АТМОСФ.ВОЗДУХА</v>
          </cell>
        </row>
        <row r="2337">
          <cell r="C2337" t="str">
            <v>СОЛИКАМСКИЙ ГОР.ЦЕНТР</v>
          </cell>
        </row>
        <row r="2338">
          <cell r="C2338" t="str">
            <v>СОЛИКАМСКИЙ ЛЕСХОЗ</v>
          </cell>
        </row>
        <row r="2339">
          <cell r="C2339" t="str">
            <v>СОЛИКАМСКИЙ МЕЖЛЕСХОЗ</v>
          </cell>
        </row>
        <row r="2340">
          <cell r="C2340" t="str">
            <v>СОЛИКАМСКИЙ МЕЖЛЕСХОЗ</v>
          </cell>
        </row>
        <row r="2341">
          <cell r="C2341" t="str">
            <v>СОЛИКАМСКИЙ ОТРЯД ПОЖ.ОХРАНЫ</v>
          </cell>
        </row>
        <row r="2342">
          <cell r="C2342" t="str">
            <v>СОЛИКАМСКИЙ РАЙБЮДЖЕТ</v>
          </cell>
        </row>
        <row r="2343">
          <cell r="C2343" t="str">
            <v>СОЛИКАМСКИЙ РАЙКОМЗЕМ</v>
          </cell>
        </row>
        <row r="2344">
          <cell r="C2344" t="str">
            <v>СОЛИКАМСКИЙ РАЙОННЫЙ ФИНОТДЕЛ</v>
          </cell>
        </row>
        <row r="2345">
          <cell r="C2345" t="str">
            <v>СОЛИКАМСКИЙ СТР.МОНТАЖНЫЙ ТРЕСТ 8</v>
          </cell>
        </row>
        <row r="2346">
          <cell r="C2346" t="str">
            <v>СОЛИКАМСКИЙ ХПП</v>
          </cell>
        </row>
        <row r="2347">
          <cell r="C2347" t="str">
            <v>СОЛИКАМСКИЙ ЦЕНТР ГОССАНЭПИДНАДЗОР</v>
          </cell>
        </row>
        <row r="2348">
          <cell r="C2348" t="str">
            <v>СОСНИН СЕРГЕЙ В.</v>
          </cell>
        </row>
        <row r="2349">
          <cell r="C2349" t="str">
            <v>СОЮЗ НИО БАШКОРТОСТАНА</v>
          </cell>
        </row>
        <row r="2350">
          <cell r="C2350" t="str">
            <v>СП АВИС</v>
          </cell>
        </row>
        <row r="2351">
          <cell r="C2351" t="str">
            <v>СП АОЗТ ХИМЕКС-ЛИМЕТЕД</v>
          </cell>
        </row>
        <row r="2352">
          <cell r="C2352" t="str">
            <v>СП АТЛАНТ-СЕРВИС-ЭФА</v>
          </cell>
        </row>
        <row r="2353">
          <cell r="C2353" t="str">
            <v>СП ЕНХА</v>
          </cell>
        </row>
        <row r="2354">
          <cell r="C2354" t="str">
            <v>СП КЛИМАТ</v>
          </cell>
        </row>
        <row r="2355">
          <cell r="C2355" t="str">
            <v>СП МД СЕЙС</v>
          </cell>
        </row>
        <row r="2356">
          <cell r="C2356" t="str">
            <v>СП МЕКАМИНЕФТЬ</v>
          </cell>
        </row>
        <row r="2357">
          <cell r="C2357" t="str">
            <v>СП МЕКАМИНЕФТЬ</v>
          </cell>
        </row>
        <row r="2358">
          <cell r="C2358" t="str">
            <v>СП ММТ ИНТЕРНАЦИОНАЛ</v>
          </cell>
        </row>
        <row r="2359">
          <cell r="C2359" t="str">
            <v>СП ПОЛИМЕТ</v>
          </cell>
        </row>
        <row r="2360">
          <cell r="C2360" t="str">
            <v>СП РОССИЙСКАЯ ТОПЛИВНАЯ КОМПАНИЯ</v>
          </cell>
        </row>
        <row r="2361">
          <cell r="C2361" t="str">
            <v>СП РОССИЙСКАЯ ТОПЛИВНАЯ КОМПАНИЯ</v>
          </cell>
        </row>
        <row r="2362">
          <cell r="C2362" t="str">
            <v>СП СПЕКТРОФЛЭШ</v>
          </cell>
        </row>
        <row r="2363">
          <cell r="C2363" t="str">
            <v>СП СТАТУС</v>
          </cell>
        </row>
        <row r="2364">
          <cell r="C2364" t="str">
            <v>СП СТРОЙМОНТАЖ</v>
          </cell>
        </row>
        <row r="2365">
          <cell r="C2365" t="str">
            <v>СП СТРОЙМОНТАЖ</v>
          </cell>
        </row>
        <row r="2366">
          <cell r="C2366" t="str">
            <v>СП ТЕЛУР</v>
          </cell>
        </row>
        <row r="2367">
          <cell r="C2367" t="str">
            <v>СП ТОО ИНТЕРКОМ</v>
          </cell>
        </row>
        <row r="2368">
          <cell r="C2368" t="str">
            <v>СПЕЦРЕМЭНЕРГОТЕХНОЛОГИЯ</v>
          </cell>
        </row>
        <row r="2369">
          <cell r="C2369" t="str">
            <v>СПКТБ Нефтегазмаш</v>
          </cell>
        </row>
        <row r="2370">
          <cell r="C2370" t="str">
            <v>СПОРТКОМПЛЕКС</v>
          </cell>
        </row>
        <row r="2371">
          <cell r="C2371" t="str">
            <v>СПОРТКОМПЛЕКС             за баланс</v>
          </cell>
        </row>
        <row r="2372">
          <cell r="C2372" t="str">
            <v>СРЕДНЕ-КАМСКАЯ РАЙ ИН РЫБ</v>
          </cell>
        </row>
        <row r="2373">
          <cell r="C2373" t="str">
            <v>СРЕДНЯЯ ШКОЛА 1</v>
          </cell>
        </row>
        <row r="2374">
          <cell r="C2374" t="str">
            <v>СРСХУ ПРОТИВОПОЖАРНЫХ РАБОТ</v>
          </cell>
        </row>
        <row r="2375">
          <cell r="C2375" t="str">
            <v>СРХУ</v>
          </cell>
        </row>
        <row r="2376">
          <cell r="C2376" t="str">
            <v>СТ ГАЛС</v>
          </cell>
        </row>
        <row r="2377">
          <cell r="C2377" t="str">
            <v>СТ МП ИНОКАР</v>
          </cell>
        </row>
        <row r="2378">
          <cell r="C2378" t="str">
            <v>СТ ПРИБОЙ</v>
          </cell>
        </row>
        <row r="2379">
          <cell r="C2379" t="str">
            <v>СТ РЕГИОН</v>
          </cell>
        </row>
        <row r="2380">
          <cell r="C2380" t="str">
            <v>СТАНЦИЯ ПЕРМЬ-2</v>
          </cell>
        </row>
        <row r="2381">
          <cell r="C2381" t="str">
            <v>СТЕПАНОВ ВЛАД.АН.</v>
          </cell>
        </row>
        <row r="2382">
          <cell r="C2382" t="str">
            <v>СТЕПАНОВ ВЛАД.АНАТ.</v>
          </cell>
        </row>
        <row r="2383">
          <cell r="C2383" t="str">
            <v>СТОЛОВАЯ (УНЬВА)</v>
          </cell>
        </row>
        <row r="2384">
          <cell r="C2384" t="str">
            <v>СТОЛОВАЯ -12</v>
          </cell>
        </row>
        <row r="2385">
          <cell r="C2385" t="str">
            <v>СТРАХОВОЕ ОБЩЕСТВО АЛТЕР</v>
          </cell>
        </row>
        <row r="2386">
          <cell r="C2386" t="str">
            <v>СТРОИТЕЛЬНАЯ ОРГАНИЗАЦИЯ ГДР</v>
          </cell>
        </row>
        <row r="2387">
          <cell r="C2387" t="str">
            <v>СТРОИТЕЛЬСТВО ДОМОВ</v>
          </cell>
        </row>
        <row r="2388">
          <cell r="C2388" t="str">
            <v>СУ УРАЛЭНЕРГОЖИЛСТРОЙ</v>
          </cell>
        </row>
        <row r="2389">
          <cell r="C2389" t="str">
            <v>СУ УРАЛЭНЕРГОХИМЗАЩИТА</v>
          </cell>
        </row>
        <row r="2390">
          <cell r="C2390" t="str">
            <v>СУ-5 ТРЕСТ-15</v>
          </cell>
        </row>
        <row r="2391">
          <cell r="C2391" t="str">
            <v>СУ-5 ТРЕСТ-15</v>
          </cell>
        </row>
        <row r="2392">
          <cell r="C2392" t="str">
            <v>СУ-912 ОАО ПЕРМДОРСТРОЙ</v>
          </cell>
        </row>
        <row r="2393">
          <cell r="C2393" t="str">
            <v>СУ-912 ОАО ПЕРМДОРСТРОЙ</v>
          </cell>
        </row>
        <row r="2394">
          <cell r="C2394" t="str">
            <v>СУ-938 ОАО ПЕРМДОРСТРОЙ</v>
          </cell>
        </row>
        <row r="2395">
          <cell r="C2395" t="str">
            <v>СУ-938 ОАО ПЕРМДОРСТРОЙ</v>
          </cell>
        </row>
        <row r="2396">
          <cell r="C2396" t="str">
            <v>СУББОТИН А.С.</v>
          </cell>
        </row>
        <row r="2397">
          <cell r="C2397" t="str">
            <v>СУДНИЩИКОВ А.В.</v>
          </cell>
        </row>
        <row r="2398">
          <cell r="C2398" t="str">
            <v>СУКСУНСКИЙ З-Д ЭЛЕКТРООБОРУДОВАНИЯ</v>
          </cell>
        </row>
        <row r="2399">
          <cell r="C2399" t="str">
            <v>СУКСУНСКОЕ РТП</v>
          </cell>
        </row>
        <row r="2400">
          <cell r="C2400" t="str">
            <v>СУНЦОВА З.Ф.</v>
          </cell>
        </row>
        <row r="2401">
          <cell r="C2401" t="str">
            <v>СЧЕТ 10/9 БАЖИНА Т.И.</v>
          </cell>
        </row>
        <row r="2402">
          <cell r="C2402" t="str">
            <v>СЧЕТ 10/9 ПОДСУХИНА Л.Н.</v>
          </cell>
        </row>
        <row r="2403">
          <cell r="C2403" t="str">
            <v>СЧЕТ 10/9 ФОКЕЕВ А.Г.</v>
          </cell>
        </row>
        <row r="2404">
          <cell r="C2404" t="str">
            <v>СЧЕТ 10/9 ШИТОВА И.Г.</v>
          </cell>
        </row>
        <row r="2405">
          <cell r="C2405" t="str">
            <v>СЫЛВЕНСКИЙ СТЕКОЛЬНЫЙ ЗАВОД</v>
          </cell>
        </row>
        <row r="2406">
          <cell r="C2406" t="str">
            <v>СЫРОПЯТОВ В.С.</v>
          </cell>
        </row>
        <row r="2407">
          <cell r="C2407" t="str">
            <v>СЫРОПЯТОВА Н.Ф.</v>
          </cell>
        </row>
        <row r="2408">
          <cell r="C2408" t="str">
            <v>СЫСОЛЕТИН Н.Е.</v>
          </cell>
        </row>
        <row r="2409">
          <cell r="C2409" t="str">
            <v>ТАБОРСКИЙ ЛПХА</v>
          </cell>
        </row>
        <row r="2410">
          <cell r="C2410" t="str">
            <v>ТАБОРСКИЙ ЛПХА</v>
          </cell>
        </row>
        <row r="2411">
          <cell r="C2411" t="str">
            <v>ТАРА-ДОЛМАТОВ С.В.</v>
          </cell>
        </row>
        <row r="2412">
          <cell r="C2412" t="str">
            <v>ТАРА-ЕПИШИН Б.Н.</v>
          </cell>
        </row>
        <row r="2413">
          <cell r="C2413" t="str">
            <v>ТАРА-ЗАХАРОВ С.С.</v>
          </cell>
        </row>
        <row r="2414">
          <cell r="C2414" t="str">
            <v>ТАРА-КУЗНЕЦОВ В.В.</v>
          </cell>
        </row>
        <row r="2415">
          <cell r="C2415" t="str">
            <v>ТАРА-ОВЧИННИКОВА Н.И.</v>
          </cell>
        </row>
        <row r="2416">
          <cell r="C2416" t="str">
            <v>ТАРА-ПЛЮСНИН В.К.</v>
          </cell>
        </row>
        <row r="2417">
          <cell r="C2417" t="str">
            <v>ТАРА-УВАРОВА Г.М.</v>
          </cell>
        </row>
        <row r="2418">
          <cell r="C2418" t="str">
            <v>ТАШКИНОВ И.П.</v>
          </cell>
        </row>
        <row r="2419">
          <cell r="C2419" t="str">
            <v>ТАШКИНОВ И.П.СЧ.10/3</v>
          </cell>
        </row>
        <row r="2420">
          <cell r="C2420" t="str">
            <v>ТВЕРСКОЙ ЭКСКАВАТОРНЫЙ ЗАВОД</v>
          </cell>
        </row>
        <row r="2421">
          <cell r="C2421" t="str">
            <v>ТЕАТР ИРОНИЧНАЯ КОМПАНИЯ</v>
          </cell>
        </row>
        <row r="2422">
          <cell r="C2422" t="str">
            <v>ТЕЛЕКИНОРАДИОКОМПАНИЯ7</v>
          </cell>
        </row>
        <row r="2423">
          <cell r="C2423" t="str">
            <v>ТЕЛЕКОМПАНИЯ Т7</v>
          </cell>
        </row>
        <row r="2424">
          <cell r="C2424" t="str">
            <v>ТЕПЛОЭНЕРГО</v>
          </cell>
        </row>
        <row r="2425">
          <cell r="C2425" t="str">
            <v>ТЕРЕКС ЛТД</v>
          </cell>
        </row>
        <row r="2426">
          <cell r="C2426" t="str">
            <v>ТЕРЕНИН Ал.В.</v>
          </cell>
        </row>
        <row r="2427">
          <cell r="C2427" t="str">
            <v>ТЕРРИТОРИАЛЬНЫЙ ДОРОЖНЫЙ ФОНД</v>
          </cell>
        </row>
        <row r="2428">
          <cell r="C2428" t="str">
            <v>ТЕХ.ПД ПЕРМСКОЕ ОТД.СВЕРД.Ж/Д</v>
          </cell>
        </row>
        <row r="2429">
          <cell r="C2429" t="str">
            <v>ТЕХНИЧЕСКИЙ КОЛЛЕДЖ ТАНТАЛ</v>
          </cell>
        </row>
        <row r="2430">
          <cell r="C2430" t="str">
            <v>ТЕХНИЧЕСКИЙ ЦЕНТР АВЕСТА</v>
          </cell>
        </row>
        <row r="2431">
          <cell r="C2431" t="str">
            <v>ТЕХНИЧЕСКИЙ ЦЕНТР НПО ИНДУКЦИЯ</v>
          </cell>
        </row>
        <row r="2432">
          <cell r="C2432" t="str">
            <v>ТИР ГОРОБЦОВ Е.А.</v>
          </cell>
        </row>
        <row r="2433">
          <cell r="C2433" t="str">
            <v>ТК ЛУКОЙЛ-ТРАНС</v>
          </cell>
        </row>
        <row r="2434">
          <cell r="C2434" t="str">
            <v>ТКЦ ЗАПАДУРАЛ-ЧТЗ-СЕРВИС</v>
          </cell>
        </row>
        <row r="2435">
          <cell r="C2435" t="str">
            <v>ТОВАРЫ НАСЕЛЕНИЯ</v>
          </cell>
        </row>
        <row r="2436">
          <cell r="C2436" t="str">
            <v>ТОКАРЕВ В.П.</v>
          </cell>
        </row>
        <row r="2437">
          <cell r="C2437" t="str">
            <v>ТОКАРЕВА А.М.</v>
          </cell>
        </row>
        <row r="2438">
          <cell r="C2438" t="str">
            <v>ТОКАРЬ С.В.</v>
          </cell>
        </row>
        <row r="2439">
          <cell r="C2439" t="str">
            <v>ТОКАРЬ С.В.               за баланс</v>
          </cell>
        </row>
        <row r="2440">
          <cell r="C2440" t="str">
            <v>ТОЛСТИКОВ П.П.</v>
          </cell>
        </row>
        <row r="2441">
          <cell r="C2441" t="str">
            <v>ТОМСКИЙ МАНОМЕТРОВЫЙ З-Д г.ТОМСК</v>
          </cell>
        </row>
        <row r="2442">
          <cell r="C2442" t="str">
            <v>ТОМСКОЕ Н/ПР.И ВНЕДРЕНЧ.ОБ-ВО СИАМ</v>
          </cell>
        </row>
        <row r="2443">
          <cell r="C2443" t="str">
            <v>ТОО АВТОГЕН-ТЕХГАЗ</v>
          </cell>
        </row>
        <row r="2444">
          <cell r="C2444" t="str">
            <v>ТОО АВТОГРАФ</v>
          </cell>
        </row>
        <row r="2445">
          <cell r="C2445" t="str">
            <v>ТОО АВТОШТАМП Г САМАРА</v>
          </cell>
        </row>
        <row r="2446">
          <cell r="C2446" t="str">
            <v>ТОО АГАТ</v>
          </cell>
        </row>
        <row r="2447">
          <cell r="C2447" t="str">
            <v>ТОО АГАТ</v>
          </cell>
        </row>
        <row r="2448">
          <cell r="C2448" t="str">
            <v>ТОО АГРОРЕММАШ</v>
          </cell>
        </row>
        <row r="2449">
          <cell r="C2449" t="str">
            <v>ТОО АГРОТЕХЦЕНТР</v>
          </cell>
        </row>
        <row r="2450">
          <cell r="C2450" t="str">
            <v>ТОО АДОНИС</v>
          </cell>
        </row>
        <row r="2451">
          <cell r="C2451" t="str">
            <v>ТОО АДОНИС</v>
          </cell>
        </row>
        <row r="2452">
          <cell r="C2452" t="str">
            <v>ТОО АЗСМ</v>
          </cell>
        </row>
        <row r="2453">
          <cell r="C2453" t="str">
            <v>ТОО АЙДА</v>
          </cell>
        </row>
        <row r="2454">
          <cell r="C2454" t="str">
            <v>ТОО АКЦИОНЕРН.З-Д СТРОИТ.МАТЕРИАЛОВ</v>
          </cell>
        </row>
        <row r="2455">
          <cell r="C2455" t="str">
            <v>ТОО АЛЕКС</v>
          </cell>
        </row>
        <row r="2456">
          <cell r="C2456" t="str">
            <v>ТОО АЛЕКС</v>
          </cell>
        </row>
        <row r="2457">
          <cell r="C2457" t="str">
            <v>ТОО АЛЕКС И К</v>
          </cell>
        </row>
        <row r="2458">
          <cell r="C2458" t="str">
            <v>ТОО АЛЕКС И К</v>
          </cell>
        </row>
        <row r="2459">
          <cell r="C2459" t="str">
            <v>ТОО АЛЕХИ</v>
          </cell>
        </row>
        <row r="2460">
          <cell r="C2460" t="str">
            <v>ТОО АМРИТА</v>
          </cell>
        </row>
        <row r="2461">
          <cell r="C2461" t="str">
            <v>ТОО АНКЕС</v>
          </cell>
        </row>
        <row r="2462">
          <cell r="C2462" t="str">
            <v>ТОО АННА</v>
          </cell>
        </row>
        <row r="2463">
          <cell r="C2463" t="str">
            <v>ТОО АНТИКОР</v>
          </cell>
        </row>
        <row r="2464">
          <cell r="C2464" t="str">
            <v>ТОО АОЛИКА</v>
          </cell>
        </row>
        <row r="2465">
          <cell r="C2465" t="str">
            <v>ТОО АПЕКС-ИНТЕР</v>
          </cell>
        </row>
        <row r="2466">
          <cell r="C2466" t="str">
            <v>ТОО АРИНА</v>
          </cell>
        </row>
        <row r="2467">
          <cell r="C2467" t="str">
            <v>ТОО АРСЕНАЛ</v>
          </cell>
        </row>
        <row r="2468">
          <cell r="C2468" t="str">
            <v>ТОО АРТ-СТРОЙ</v>
          </cell>
        </row>
        <row r="2469">
          <cell r="C2469" t="str">
            <v>ТОО АРТ-СТРОЙ</v>
          </cell>
        </row>
        <row r="2470">
          <cell r="C2470" t="str">
            <v>ТОО АТЕЛЬЕ НОВИНКА</v>
          </cell>
        </row>
        <row r="2471">
          <cell r="C2471" t="str">
            <v>ТОО АТЕЛЬЕ НОВИНКА</v>
          </cell>
        </row>
        <row r="2472">
          <cell r="C2472" t="str">
            <v>ТОО АТЕЛЬЕ НОВИНКА 7</v>
          </cell>
        </row>
        <row r="2473">
          <cell r="C2473" t="str">
            <v>ТОО АЭРОПОРТОВЫЙ ГРУЗОВОЙ КОМПЛЕКС</v>
          </cell>
        </row>
        <row r="2474">
          <cell r="C2474" t="str">
            <v>ТОО АЭРОТЕСТ</v>
          </cell>
        </row>
        <row r="2475">
          <cell r="C2475" t="str">
            <v>ТОО БАРС-1</v>
          </cell>
        </row>
        <row r="2476">
          <cell r="C2476" t="str">
            <v>ТОО БЕРЕЗНИКОВСКИЙ АВТОЦЕНТР КАМАЗА</v>
          </cell>
        </row>
        <row r="2477">
          <cell r="C2477" t="str">
            <v>ТОО БИЛ</v>
          </cell>
        </row>
        <row r="2478">
          <cell r="C2478" t="str">
            <v>ТОО БИШОФИТ</v>
          </cell>
        </row>
        <row r="2479">
          <cell r="C2479" t="str">
            <v>ТОО БУРЕКС</v>
          </cell>
        </row>
        <row r="2480">
          <cell r="C2480" t="str">
            <v>ТОО БЭМБИ</v>
          </cell>
        </row>
        <row r="2481">
          <cell r="C2481" t="str">
            <v>ТОО БЮРО ПЕРЕВОДОВ</v>
          </cell>
        </row>
        <row r="2482">
          <cell r="C2482" t="str">
            <v>ТОО В-1336</v>
          </cell>
        </row>
        <row r="2483">
          <cell r="C2483" t="str">
            <v>ТОО ВЕЛА</v>
          </cell>
        </row>
        <row r="2484">
          <cell r="C2484" t="str">
            <v>ТОО ВЕНТУР</v>
          </cell>
        </row>
        <row r="2485">
          <cell r="C2485" t="str">
            <v>ТОО ВИКА</v>
          </cell>
        </row>
        <row r="2486">
          <cell r="C2486" t="str">
            <v>ТОО ГАЛАТЕЯ</v>
          </cell>
        </row>
        <row r="2487">
          <cell r="C2487" t="str">
            <v>ТОО ГАЛАТЕЯ</v>
          </cell>
        </row>
        <row r="2488">
          <cell r="C2488" t="str">
            <v>ТОО ГАЛС</v>
          </cell>
        </row>
        <row r="2489">
          <cell r="C2489" t="str">
            <v>ТОО ГАРАНКС</v>
          </cell>
        </row>
        <row r="2490">
          <cell r="C2490" t="str">
            <v>ТОО ГАРАНТ</v>
          </cell>
        </row>
        <row r="2491">
          <cell r="C2491" t="str">
            <v>ТОО ГЕОС</v>
          </cell>
        </row>
        <row r="2492">
          <cell r="C2492" t="str">
            <v>ТОО ГЕРКОН</v>
          </cell>
        </row>
        <row r="2493">
          <cell r="C2493" t="str">
            <v>ТОО ГЕЯ</v>
          </cell>
        </row>
        <row r="2494">
          <cell r="C2494" t="str">
            <v>ТОО ГЛЕСИС</v>
          </cell>
        </row>
        <row r="2495">
          <cell r="C2495" t="str">
            <v>ТОО ГЛОРИЯ</v>
          </cell>
        </row>
        <row r="2496">
          <cell r="C2496" t="str">
            <v>ТОО ГЛОРИЯ</v>
          </cell>
        </row>
        <row r="2497">
          <cell r="C2497" t="str">
            <v>ТОО ГРАНТ</v>
          </cell>
        </row>
        <row r="2498">
          <cell r="C2498" t="str">
            <v>ТОО ГРЕЗЫ</v>
          </cell>
        </row>
        <row r="2499">
          <cell r="C2499" t="str">
            <v>ТОО ГРЕЗЫ</v>
          </cell>
        </row>
        <row r="2500">
          <cell r="C2500" t="str">
            <v>ТОО ГУДВИЛ</v>
          </cell>
        </row>
        <row r="2501">
          <cell r="C2501" t="str">
            <v>ТОО ГУДВИЛЛ</v>
          </cell>
        </row>
        <row r="2502">
          <cell r="C2502" t="str">
            <v>ТОО ГУДВИЛЛ</v>
          </cell>
        </row>
        <row r="2503">
          <cell r="C2503" t="str">
            <v>ТОО ДЕСАДОРА</v>
          </cell>
        </row>
        <row r="2504">
          <cell r="C2504" t="str">
            <v>ТОО ДИЛАК</v>
          </cell>
        </row>
        <row r="2505">
          <cell r="C2505" t="str">
            <v>ТОО ДИТРАНС</v>
          </cell>
        </row>
        <row r="2506">
          <cell r="C2506" t="str">
            <v>ТОО ДОБРЯНСКИЙ МЕЖХОЗ.АГРОЛЕСХОЗ</v>
          </cell>
        </row>
        <row r="2507">
          <cell r="C2507" t="str">
            <v>ТОО ДОБРЯНСКИЙ МЕЖХОЗ.АГРОЛЕСХОЗ</v>
          </cell>
        </row>
        <row r="2508">
          <cell r="C2508" t="str">
            <v>ТОО ДОЛАСТ</v>
          </cell>
        </row>
        <row r="2509">
          <cell r="C2509" t="str">
            <v>ТОО ДОЛАСТ</v>
          </cell>
        </row>
        <row r="2510">
          <cell r="C2510" t="str">
            <v>ТОО ДОРКОМТЕХНИКА</v>
          </cell>
        </row>
        <row r="2511">
          <cell r="C2511" t="str">
            <v>ТОО ДЮНА И К</v>
          </cell>
        </row>
        <row r="2512">
          <cell r="C2512" t="str">
            <v>ТОО ДЮНА И К</v>
          </cell>
        </row>
        <row r="2513">
          <cell r="C2513" t="str">
            <v>ТОО ДЮНА и К г.НАБЕРЕЖНЫЕ ЧЕЛНЫ</v>
          </cell>
        </row>
        <row r="2514">
          <cell r="C2514" t="str">
            <v>ТОО ЕЛМА</v>
          </cell>
        </row>
        <row r="2515">
          <cell r="C2515" t="str">
            <v>ТОО ЕРМАК-2</v>
          </cell>
        </row>
        <row r="2516">
          <cell r="C2516" t="str">
            <v>ТОО ЗАВОД ПРОГРЕСС</v>
          </cell>
        </row>
        <row r="2517">
          <cell r="C2517" t="str">
            <v>ТОО ЗАКАМСКОЕ</v>
          </cell>
        </row>
        <row r="2518">
          <cell r="C2518" t="str">
            <v>ТОО ЗАПАДНО-УРАЛЬСКОЕ</v>
          </cell>
        </row>
        <row r="2519">
          <cell r="C2519" t="str">
            <v>ТОО ИДОХТОН ЛТД</v>
          </cell>
        </row>
        <row r="2520">
          <cell r="C2520" t="str">
            <v>ТОО ИМПОРТ-СЕРВИС</v>
          </cell>
        </row>
        <row r="2521">
          <cell r="C2521" t="str">
            <v>ТОО ИМПУЛЬС ИНСАЙД</v>
          </cell>
        </row>
        <row r="2522">
          <cell r="C2522" t="str">
            <v>ТОО ИМПУЛЬС ИНСАЙД</v>
          </cell>
        </row>
        <row r="2523">
          <cell r="C2523" t="str">
            <v>ТОО ИМПУЛЬС ТРЕЙД</v>
          </cell>
        </row>
        <row r="2524">
          <cell r="C2524" t="str">
            <v>ТОО ИМПУЛЬС ТРЕЙД</v>
          </cell>
        </row>
        <row r="2525">
          <cell r="C2525" t="str">
            <v>ТОО ИМПУЛЬС-ИНСАЙД</v>
          </cell>
        </row>
        <row r="2526">
          <cell r="C2526" t="str">
            <v>ТОО ИНВАТЕХ-С</v>
          </cell>
        </row>
        <row r="2527">
          <cell r="C2527" t="str">
            <v>ТОО ИНЖЕНЕРНО-КОНСУЛ.ЦЕНТР ПРОСВЕТ</v>
          </cell>
        </row>
        <row r="2528">
          <cell r="C2528" t="str">
            <v>ТОО ИНЖЕНЕРНЫЙ ЦЕНТР ИНТЕРФЕЙС</v>
          </cell>
        </row>
        <row r="2529">
          <cell r="C2529" t="str">
            <v>ТОО ИНТЕРИНФОРМ</v>
          </cell>
        </row>
        <row r="2530">
          <cell r="C2530" t="str">
            <v>ТОО ИНФОРМЦЕН-ДИРЕКТ</v>
          </cell>
        </row>
        <row r="2531">
          <cell r="C2531" t="str">
            <v>ТОО ИРИНА</v>
          </cell>
        </row>
        <row r="2532">
          <cell r="C2532" t="str">
            <v>ТОО ИСКРА</v>
          </cell>
        </row>
        <row r="2533">
          <cell r="C2533" t="str">
            <v>ТОО ИФФ ТЕХАВТОКРЕДИТ</v>
          </cell>
        </row>
        <row r="2534">
          <cell r="C2534" t="str">
            <v>ТОО КАДРЫ ПЕР ГОС ТЕХ УНИВ Г БЕРЕЗ.</v>
          </cell>
        </row>
        <row r="2535">
          <cell r="C2535" t="str">
            <v>ТОО КАПТАЛ Г.МОСКВА</v>
          </cell>
        </row>
        <row r="2536">
          <cell r="C2536" t="str">
            <v>ТОО КАСИБСКОЕ</v>
          </cell>
        </row>
        <row r="2537">
          <cell r="C2537" t="str">
            <v>ТОО КАСИБСКОЕ</v>
          </cell>
        </row>
        <row r="2538">
          <cell r="C2538" t="str">
            <v>ТОО КВАНТ-ТЕСТ</v>
          </cell>
        </row>
        <row r="2539">
          <cell r="C2539" t="str">
            <v>ТОО КИМ</v>
          </cell>
        </row>
        <row r="2540">
          <cell r="C2540" t="str">
            <v>ТОО КИМ</v>
          </cell>
        </row>
        <row r="2541">
          <cell r="C2541" t="str">
            <v>ТОО КИМ</v>
          </cell>
        </row>
        <row r="2542">
          <cell r="C2542" t="str">
            <v>ТОО КОМПАНИЯ ПРОКСИ ЛТД</v>
          </cell>
        </row>
        <row r="2543">
          <cell r="C2543" t="str">
            <v>ТОО КОМФОРТ</v>
          </cell>
        </row>
        <row r="2544">
          <cell r="C2544" t="str">
            <v>ТОО КОМФОРТ</v>
          </cell>
        </row>
        <row r="2545">
          <cell r="C2545" t="str">
            <v>ТОО КОНСУЛ</v>
          </cell>
        </row>
        <row r="2546">
          <cell r="C2546" t="str">
            <v>ТОО КОНТАКТ</v>
          </cell>
        </row>
        <row r="2547">
          <cell r="C2547" t="str">
            <v>ТОО КОНТАКТ-СЕРВИС</v>
          </cell>
        </row>
        <row r="2548">
          <cell r="C2548" t="str">
            <v>ТОО КОНТЕХ-ПУТТ</v>
          </cell>
        </row>
        <row r="2549">
          <cell r="C2549" t="str">
            <v>ТОО КОНТУР-Т</v>
          </cell>
        </row>
        <row r="2550">
          <cell r="C2550" t="str">
            <v>ТОО КОРНЕТ</v>
          </cell>
        </row>
        <row r="2551">
          <cell r="C2551" t="str">
            <v>ТОО КОРНЕТ</v>
          </cell>
        </row>
        <row r="2552">
          <cell r="C2552" t="str">
            <v>ТОО КОРОНА</v>
          </cell>
        </row>
        <row r="2553">
          <cell r="C2553" t="str">
            <v>ТОО КРАСН.АВТОУЧ.</v>
          </cell>
        </row>
        <row r="2554">
          <cell r="C2554" t="str">
            <v>ТОО КРЕПАР</v>
          </cell>
        </row>
        <row r="2555">
          <cell r="C2555" t="str">
            <v>ТОО КРОНА</v>
          </cell>
        </row>
        <row r="2556">
          <cell r="C2556" t="str">
            <v>ТОО КУБ-АУДИТ</v>
          </cell>
        </row>
        <row r="2557">
          <cell r="C2557" t="str">
            <v>ТОО КУРС</v>
          </cell>
        </row>
        <row r="2558">
          <cell r="C2558" t="str">
            <v>ТОО ЛЕВКО</v>
          </cell>
        </row>
        <row r="2559">
          <cell r="C2559" t="str">
            <v>ТОО ЛЕСНОЕ</v>
          </cell>
        </row>
        <row r="2560">
          <cell r="C2560" t="str">
            <v>ТОО ЛЕСНОЕ</v>
          </cell>
        </row>
        <row r="2561">
          <cell r="C2561" t="str">
            <v>ТОО ЛИГА</v>
          </cell>
        </row>
        <row r="2562">
          <cell r="C2562" t="str">
            <v>ТОО ЛОРТА</v>
          </cell>
        </row>
        <row r="2563">
          <cell r="C2563" t="str">
            <v>ТОО ЛОРТА</v>
          </cell>
        </row>
        <row r="2564">
          <cell r="C2564" t="str">
            <v>ТОО ЛУЧ</v>
          </cell>
        </row>
        <row r="2565">
          <cell r="C2565" t="str">
            <v>ТОО ЛЮМЭКС</v>
          </cell>
        </row>
        <row r="2566">
          <cell r="C2566" t="str">
            <v>ТОО МАГНИТ</v>
          </cell>
        </row>
        <row r="2567">
          <cell r="C2567" t="str">
            <v>ТОО МАРА</v>
          </cell>
        </row>
        <row r="2568">
          <cell r="C2568" t="str">
            <v>ТОО МАРКЕТИНГ-СЕРВИС</v>
          </cell>
        </row>
        <row r="2569">
          <cell r="C2569" t="str">
            <v>ТОО МАРКОС</v>
          </cell>
        </row>
        <row r="2570">
          <cell r="C2570" t="str">
            <v>ТОО МАРТ-ЛТД</v>
          </cell>
        </row>
        <row r="2571">
          <cell r="C2571" t="str">
            <v>ТОО МАРЯНКА</v>
          </cell>
        </row>
        <row r="2572">
          <cell r="C2572" t="str">
            <v>ТОО МАРЯНКА</v>
          </cell>
        </row>
        <row r="2573">
          <cell r="C2573" t="str">
            <v>ТОО МАШПРОМ</v>
          </cell>
        </row>
        <row r="2574">
          <cell r="C2574" t="str">
            <v>ТОО МДВ</v>
          </cell>
        </row>
        <row r="2575">
          <cell r="C2575" t="str">
            <v>ТОО МЕЗО</v>
          </cell>
        </row>
        <row r="2576">
          <cell r="C2576" t="str">
            <v>ТОО МЕЛВИК</v>
          </cell>
        </row>
        <row r="2577">
          <cell r="C2577" t="str">
            <v>ТОО МЕТРОЛОГ</v>
          </cell>
        </row>
        <row r="2578">
          <cell r="C2578" t="str">
            <v>ТОО МЕХАНИК</v>
          </cell>
        </row>
        <row r="2579">
          <cell r="C2579" t="str">
            <v>ТОО МИГУРТ</v>
          </cell>
        </row>
        <row r="2580">
          <cell r="C2580" t="str">
            <v>ТОО МИЗЕР</v>
          </cell>
        </row>
        <row r="2581">
          <cell r="C2581" t="str">
            <v>ТОО МИЛКОР</v>
          </cell>
        </row>
        <row r="2582">
          <cell r="C2582" t="str">
            <v>ТОО МИЧУРИН</v>
          </cell>
        </row>
        <row r="2583">
          <cell r="C2583" t="str">
            <v>ТОО МСП</v>
          </cell>
        </row>
        <row r="2584">
          <cell r="C2584" t="str">
            <v>ТОО МФ ТЕРМИНАЛ</v>
          </cell>
        </row>
        <row r="2585">
          <cell r="C2585" t="str">
            <v>ТОО НАДЫМ</v>
          </cell>
        </row>
        <row r="2586">
          <cell r="C2586" t="str">
            <v>ТОО НАТАША</v>
          </cell>
        </row>
        <row r="2587">
          <cell r="C2587" t="str">
            <v>ТОО НАТАША</v>
          </cell>
        </row>
        <row r="2588">
          <cell r="C2588" t="str">
            <v>ТОО НЕДРА</v>
          </cell>
        </row>
        <row r="2589">
          <cell r="C2589" t="str">
            <v>ТОО НЕДРА</v>
          </cell>
        </row>
        <row r="2590">
          <cell r="C2590" t="str">
            <v>ТОО НЕФТЕАВТОМАТИКА</v>
          </cell>
        </row>
        <row r="2591">
          <cell r="C2591" t="str">
            <v>ТОО НЕФТЕХИМИЧЕСКАЯ ФИРМА ЭТМА</v>
          </cell>
        </row>
        <row r="2592">
          <cell r="C2592" t="str">
            <v>ТОО НИВА ЧАСТИНСКОГО РАЙОНА</v>
          </cell>
        </row>
        <row r="2593">
          <cell r="C2593" t="str">
            <v>ТОО НиП</v>
          </cell>
        </row>
        <row r="2594">
          <cell r="C2594" t="str">
            <v>ТОО НОВАЯ СИБИРЬ</v>
          </cell>
        </row>
        <row r="2595">
          <cell r="C2595" t="str">
            <v>ТОО НОВИК</v>
          </cell>
        </row>
        <row r="2596">
          <cell r="C2596" t="str">
            <v>ТОО НПВО РЕМОНТ</v>
          </cell>
        </row>
        <row r="2597">
          <cell r="C2597" t="str">
            <v>ТОО НПО ИНДУКЦИЯ</v>
          </cell>
        </row>
        <row r="2598">
          <cell r="C2598" t="str">
            <v>ТОО НПП КОДАР</v>
          </cell>
        </row>
        <row r="2599">
          <cell r="C2599" t="str">
            <v>ТОО НПФ БИОТЕХ</v>
          </cell>
        </row>
        <row r="2600">
          <cell r="C2600" t="str">
            <v>ТОО НХФ ЭТМА</v>
          </cell>
        </row>
        <row r="2601">
          <cell r="C2601" t="str">
            <v>ТОО ОВЕН</v>
          </cell>
        </row>
        <row r="2602">
          <cell r="C2602" t="str">
            <v>ТОО ОРБИТА</v>
          </cell>
        </row>
        <row r="2603">
          <cell r="C2603" t="str">
            <v>ТОО ОРБИТА</v>
          </cell>
        </row>
        <row r="2604">
          <cell r="C2604" t="str">
            <v>ТОО ОРИЕНТ</v>
          </cell>
        </row>
        <row r="2605">
          <cell r="C2605" t="str">
            <v>ТОО ОРИЕНТ</v>
          </cell>
        </row>
        <row r="2606">
          <cell r="C2606" t="str">
            <v>ТОО ОРИОН</v>
          </cell>
        </row>
        <row r="2607">
          <cell r="C2607" t="str">
            <v>ТОО ОРТЕХ-1</v>
          </cell>
        </row>
        <row r="2608">
          <cell r="C2608" t="str">
            <v>ТОО ОТКРЫТЫЕ ТЕХНОЛОГИИ</v>
          </cell>
        </row>
        <row r="2609">
          <cell r="C2609" t="str">
            <v>ТОО ОХОТНИК</v>
          </cell>
        </row>
        <row r="2610">
          <cell r="C2610" t="str">
            <v>ТОО ПАНГЕО</v>
          </cell>
        </row>
        <row r="2611">
          <cell r="C2611" t="str">
            <v>ТОО ПАРИТЕТ</v>
          </cell>
        </row>
        <row r="2612">
          <cell r="C2612" t="str">
            <v>ТОО ПЕРМИНВЕСТСЕРВИС</v>
          </cell>
        </row>
        <row r="2613">
          <cell r="C2613" t="str">
            <v>ТОО ПЕРММЕДТЕХНИКА</v>
          </cell>
        </row>
        <row r="2614">
          <cell r="C2614" t="str">
            <v>ТОО ПЕРМСКИЙ АВТОЦЕНТР КАМАЗ</v>
          </cell>
        </row>
        <row r="2615">
          <cell r="C2615" t="str">
            <v>ТОО ПЕРМСКИЙ КОМПЬЮТЕРНЫЙ ЦЕНТР ИТ</v>
          </cell>
        </row>
        <row r="2616">
          <cell r="C2616" t="str">
            <v>ТОО ПЕРМСКИЙ УЧЕБНЫЙ КОМБИНАТ</v>
          </cell>
        </row>
        <row r="2617">
          <cell r="C2617" t="str">
            <v>ТОО ПЕРМСКИЙ ЦЕНТР ПО АСУ</v>
          </cell>
        </row>
        <row r="2618">
          <cell r="C2618" t="str">
            <v>ТОО ПЕРМТОРГРЕКЛАМА</v>
          </cell>
        </row>
        <row r="2619">
          <cell r="C2619" t="str">
            <v>ТОО ПЕРМТОРГТЕХНИКА</v>
          </cell>
        </row>
        <row r="2620">
          <cell r="C2620" t="str">
            <v>ТОО ПИО ОБТ</v>
          </cell>
        </row>
        <row r="2621">
          <cell r="C2621" t="str">
            <v>ТОО ПКП ТЕХНОЛОГ</v>
          </cell>
        </row>
        <row r="2622">
          <cell r="C2622" t="str">
            <v>ТОО ПКФ АРИСА</v>
          </cell>
        </row>
        <row r="2623">
          <cell r="C2623" t="str">
            <v>ТОО ПКФ ДИСПЛЕЙ-М</v>
          </cell>
        </row>
        <row r="2624">
          <cell r="C2624" t="str">
            <v>ТОО ПКФ ЗЕНИР</v>
          </cell>
        </row>
        <row r="2625">
          <cell r="C2625" t="str">
            <v>ТОО ПКФ ОСТРОВ</v>
          </cell>
        </row>
        <row r="2626">
          <cell r="C2626" t="str">
            <v>ТОО ПКФ ОСТРОВ</v>
          </cell>
        </row>
        <row r="2627">
          <cell r="C2627" t="str">
            <v>ТОО ПКФ ПЕРМТРАНСГАЗСТРОЙ</v>
          </cell>
        </row>
        <row r="2628">
          <cell r="C2628" t="str">
            <v>ТОО ПКФ ПЕРМТРАНСГАЗСТРОЙ</v>
          </cell>
        </row>
        <row r="2629">
          <cell r="C2629" t="str">
            <v>ТОО ПКФ ТЕМА</v>
          </cell>
        </row>
        <row r="2630">
          <cell r="C2630" t="str">
            <v>ТОО ПЛАМЯ</v>
          </cell>
        </row>
        <row r="2631">
          <cell r="C2631" t="str">
            <v>ТОО ПОЛИТЕСТ</v>
          </cell>
        </row>
        <row r="2632">
          <cell r="C2632" t="str">
            <v>ТОО ПОЛОВОДСКИЙ</v>
          </cell>
        </row>
        <row r="2633">
          <cell r="C2633" t="str">
            <v>ТОО ПОЛОВОДСКИЙ</v>
          </cell>
        </row>
        <row r="2634">
          <cell r="C2634" t="str">
            <v>ТОО ПП МЕДИКОМП</v>
          </cell>
        </row>
        <row r="2635">
          <cell r="C2635" t="str">
            <v>ТОО ПРЕДПРИЯТИЕ АЛМАС</v>
          </cell>
        </row>
        <row r="2636">
          <cell r="C2636" t="str">
            <v>ТОО ПРЕЦИЗИОН</v>
          </cell>
        </row>
        <row r="2637">
          <cell r="C2637" t="str">
            <v>ТОО ПРОГРЕСС</v>
          </cell>
        </row>
        <row r="2638">
          <cell r="C2638" t="str">
            <v>ТОО ПРОИЗВОДСТВЕННО-СТРОИТЕЛЬНАЯ ФИРМА ФОБОС</v>
          </cell>
        </row>
        <row r="2639">
          <cell r="C2639" t="str">
            <v>ТОО ПРОКОМ</v>
          </cell>
        </row>
        <row r="2640">
          <cell r="C2640" t="str">
            <v>ТОО ПРОСВЕТ ИНЖ.КОНСТРУКЦ.ЦЕНТР</v>
          </cell>
        </row>
        <row r="2641">
          <cell r="C2641" t="str">
            <v>ТОО ПУЛЬСАР</v>
          </cell>
        </row>
        <row r="2642">
          <cell r="C2642" t="str">
            <v>ТОО ПУМАС</v>
          </cell>
        </row>
        <row r="2643">
          <cell r="C2643" t="str">
            <v>ТОО ПУСК</v>
          </cell>
        </row>
        <row r="2644">
          <cell r="C2644" t="str">
            <v>ТОО РАДИОНДА ЛТД</v>
          </cell>
        </row>
        <row r="2645">
          <cell r="C2645" t="str">
            <v>ТОО РАДИОНДА ЛТД</v>
          </cell>
        </row>
        <row r="2646">
          <cell r="C2646" t="str">
            <v>ТОО РАДИОТЕХНИЧЕСКИЙ ЦЕНТР</v>
          </cell>
        </row>
        <row r="2647">
          <cell r="C2647" t="str">
            <v>ТОО РАДИУС</v>
          </cell>
        </row>
        <row r="2648">
          <cell r="C2648" t="str">
            <v>ТОО РЕВОЛ</v>
          </cell>
        </row>
        <row r="2649">
          <cell r="C2649" t="str">
            <v>ТОО РЕКОМ</v>
          </cell>
        </row>
        <row r="2650">
          <cell r="C2650" t="str">
            <v>ТОО РИА МОТОВИЛИХА</v>
          </cell>
        </row>
        <row r="2651">
          <cell r="C2651" t="str">
            <v>ТОО РИВ</v>
          </cell>
        </row>
        <row r="2652">
          <cell r="C2652" t="str">
            <v>ТОО РИВДЕЛС</v>
          </cell>
        </row>
        <row r="2653">
          <cell r="C2653" t="str">
            <v>ТОО РИФ</v>
          </cell>
        </row>
        <row r="2654">
          <cell r="C2654" t="str">
            <v>ТОО РИФ</v>
          </cell>
        </row>
        <row r="2655">
          <cell r="C2655" t="str">
            <v>ТОО РИФЕЙ</v>
          </cell>
        </row>
        <row r="2656">
          <cell r="C2656" t="str">
            <v>ТОО РОСЬ</v>
          </cell>
        </row>
        <row r="2657">
          <cell r="C2657" t="str">
            <v>ТОО РОСЬ</v>
          </cell>
        </row>
        <row r="2658">
          <cell r="C2658" t="str">
            <v>ТОО РУСИЧ</v>
          </cell>
        </row>
        <row r="2659">
          <cell r="C2659" t="str">
            <v>ТОО РЯБИНУШКА</v>
          </cell>
        </row>
        <row r="2660">
          <cell r="C2660" t="str">
            <v>ТОО РЯБИНУШКА</v>
          </cell>
        </row>
        <row r="2661">
          <cell r="C2661" t="str">
            <v>ТОО САДКО</v>
          </cell>
        </row>
        <row r="2662">
          <cell r="C2662" t="str">
            <v>ТОО САНКОРД ЛТД</v>
          </cell>
        </row>
        <row r="2663">
          <cell r="C2663" t="str">
            <v>ТОО СВЕГ</v>
          </cell>
        </row>
        <row r="2664">
          <cell r="C2664" t="str">
            <v>ТОО СИЛИКОРД</v>
          </cell>
        </row>
        <row r="2665">
          <cell r="C2665" t="str">
            <v>ТОО СКАН</v>
          </cell>
        </row>
        <row r="2666">
          <cell r="C2666" t="str">
            <v>ТОО СМЕНА</v>
          </cell>
        </row>
        <row r="2667">
          <cell r="C2667" t="str">
            <v>ТОО СМЕНА</v>
          </cell>
        </row>
        <row r="2668">
          <cell r="C2668" t="str">
            <v>ТОО СНГЭМ</v>
          </cell>
        </row>
        <row r="2669">
          <cell r="C2669" t="str">
            <v>ТОО СНиП</v>
          </cell>
        </row>
        <row r="2670">
          <cell r="C2670" t="str">
            <v>ТОО СНиП</v>
          </cell>
        </row>
        <row r="2671">
          <cell r="C2671" t="str">
            <v>ТОО СНиП</v>
          </cell>
        </row>
        <row r="2672">
          <cell r="C2672" t="str">
            <v>ТОО СОЛЕКС</v>
          </cell>
        </row>
        <row r="2673">
          <cell r="C2673" t="str">
            <v>ТОО СОЛЕКС</v>
          </cell>
        </row>
        <row r="2674">
          <cell r="C2674" t="str">
            <v>ТОО СОЛИКАМСКАЯ ПМК 16</v>
          </cell>
        </row>
        <row r="2675">
          <cell r="C2675" t="str">
            <v>ТОО СОЛИТОН</v>
          </cell>
        </row>
        <row r="2676">
          <cell r="C2676" t="str">
            <v>ТОО СП АББ ВЭИ МЕТРОНИКА</v>
          </cell>
        </row>
        <row r="2677">
          <cell r="C2677" t="str">
            <v>ТОО СПЕЙС КОММЬЮНИКЕЙШНС</v>
          </cell>
        </row>
        <row r="2678">
          <cell r="C2678" t="str">
            <v>ТОО СПЕЦРЕМЭНЕРГОТЕХ</v>
          </cell>
        </row>
        <row r="2679">
          <cell r="C2679" t="str">
            <v>ТОО СПЕЦСТРОЙ</v>
          </cell>
        </row>
        <row r="2680">
          <cell r="C2680" t="str">
            <v>ТОО СПУТНИК-ТРАВЕЛ</v>
          </cell>
        </row>
        <row r="2681">
          <cell r="C2681" t="str">
            <v>ТОО ССМУ-1 СПЕЦСТРОЙ</v>
          </cell>
        </row>
        <row r="2682">
          <cell r="C2682" t="str">
            <v>ТОО ССМУ-1 СПЕЦСТРОЙ</v>
          </cell>
        </row>
        <row r="2683">
          <cell r="C2683" t="str">
            <v>ТОО СТ</v>
          </cell>
        </row>
        <row r="2684">
          <cell r="C2684" t="str">
            <v>ТОО СТАЛКЕР</v>
          </cell>
        </row>
        <row r="2685">
          <cell r="C2685" t="str">
            <v>ТОО СТАЛКЕР</v>
          </cell>
        </row>
        <row r="2686">
          <cell r="C2686" t="str">
            <v>ТОО СТЕКК</v>
          </cell>
        </row>
        <row r="2687">
          <cell r="C2687" t="str">
            <v>ТОО СТИМ</v>
          </cell>
        </row>
        <row r="2688">
          <cell r="C2688" t="str">
            <v>ТОО СТИМ</v>
          </cell>
        </row>
        <row r="2689">
          <cell r="C2689" t="str">
            <v>ТОО ТАИС</v>
          </cell>
        </row>
        <row r="2690">
          <cell r="C2690" t="str">
            <v>ТОО ТАКТИКА</v>
          </cell>
        </row>
        <row r="2691">
          <cell r="C2691" t="str">
            <v>ТОО ТАЛИЦКОЕ</v>
          </cell>
        </row>
        <row r="2692">
          <cell r="C2692" t="str">
            <v>ТОО ТД ОХОТА</v>
          </cell>
        </row>
        <row r="2693">
          <cell r="C2693" t="str">
            <v>ТОО ТЕЛЛУС</v>
          </cell>
        </row>
        <row r="2694">
          <cell r="C2694" t="str">
            <v>ТОО ТЕМП</v>
          </cell>
        </row>
        <row r="2695">
          <cell r="C2695" t="str">
            <v>ТОО ТЕМП</v>
          </cell>
        </row>
        <row r="2696">
          <cell r="C2696" t="str">
            <v>ТОО ТЕХКАМСЕРВИС</v>
          </cell>
        </row>
        <row r="2697">
          <cell r="C2697" t="str">
            <v>ТОО ТЕХНИКА</v>
          </cell>
        </row>
        <row r="2698">
          <cell r="C2698" t="str">
            <v>ТОО ТЕХНОЛМАШ</v>
          </cell>
        </row>
        <row r="2699">
          <cell r="C2699" t="str">
            <v>ТОО ТЕХЭКОЦЕНТР</v>
          </cell>
        </row>
        <row r="2700">
          <cell r="C2700" t="str">
            <v>ТОО ТИПОГРАФИЯ КНИГА</v>
          </cell>
        </row>
        <row r="2701">
          <cell r="C2701" t="str">
            <v>ТОО ТИР</v>
          </cell>
        </row>
        <row r="2702">
          <cell r="C2702" t="str">
            <v>ТОО ТОВАРЫ ДЛЯ ДОМА</v>
          </cell>
        </row>
        <row r="2703">
          <cell r="C2703" t="str">
            <v>ТОО ТОНЭР</v>
          </cell>
        </row>
        <row r="2704">
          <cell r="C2704" t="str">
            <v>ТОО ТОП КОМ</v>
          </cell>
        </row>
        <row r="2705">
          <cell r="C2705" t="str">
            <v>ТОО ТОРГОВЫЙ ДОМ АМРИТА</v>
          </cell>
        </row>
        <row r="2706">
          <cell r="C2706" t="str">
            <v>ТОО ТОРГОВЫЙ ДОМ БЕЛОРЕЦКИЙ</v>
          </cell>
        </row>
        <row r="2707">
          <cell r="C2707" t="str">
            <v>ТОО ТПЦ ПЕЛОКОМ</v>
          </cell>
        </row>
        <row r="2708">
          <cell r="C2708" t="str">
            <v>ТОО ТРАНСУС</v>
          </cell>
        </row>
        <row r="2709">
          <cell r="C2709" t="str">
            <v>ТОО ТРЕСТ 15</v>
          </cell>
        </row>
        <row r="2710">
          <cell r="C2710" t="str">
            <v>ТОО ТРЕСТ 15</v>
          </cell>
        </row>
        <row r="2711">
          <cell r="C2711" t="str">
            <v>ТОО ТРИМА</v>
          </cell>
        </row>
        <row r="2712">
          <cell r="C2712" t="str">
            <v>ТОО ТРИТОН</v>
          </cell>
        </row>
        <row r="2713">
          <cell r="C2713" t="str">
            <v>ТОО ТРУЖЕНИК</v>
          </cell>
        </row>
        <row r="2714">
          <cell r="C2714" t="str">
            <v>ТОО ТРУЖЕНИК</v>
          </cell>
        </row>
        <row r="2715">
          <cell r="C2715" t="str">
            <v>ТОО УЛЬЯНОВСКОЕ</v>
          </cell>
        </row>
        <row r="2716">
          <cell r="C2716" t="str">
            <v>ТОО УЛЬЯНОВСКОЕ</v>
          </cell>
        </row>
        <row r="2717">
          <cell r="C2717" t="str">
            <v>ТОО УОФ РЕАЛ КОММУНИКЕЙШЕЙН</v>
          </cell>
        </row>
        <row r="2718">
          <cell r="C2718" t="str">
            <v>ТОО УРАЛЬСКАЯ НИВА</v>
          </cell>
        </row>
        <row r="2719">
          <cell r="C2719" t="str">
            <v>ТОО УРАЛЬСКАЯ НИВА</v>
          </cell>
        </row>
        <row r="2720">
          <cell r="C2720" t="str">
            <v>ТОО УРАЛЬСКАЯ НИВА</v>
          </cell>
        </row>
        <row r="2721">
          <cell r="C2721" t="str">
            <v>ТОО УСОЛЬЕ-АГРОЛЕС</v>
          </cell>
        </row>
        <row r="2722">
          <cell r="C2722" t="str">
            <v>ТОО УСОЛЬЕ-АГРОЛЕС</v>
          </cell>
        </row>
        <row r="2723">
          <cell r="C2723" t="str">
            <v>ТОО УСОЛЬСКАЯ ДПМК</v>
          </cell>
        </row>
        <row r="2724">
          <cell r="C2724" t="str">
            <v>ТОО ФАКТОРИАЛ-3</v>
          </cell>
        </row>
        <row r="2725">
          <cell r="C2725" t="str">
            <v>ТОО ФАРММЕДСЕРВИС</v>
          </cell>
        </row>
        <row r="2726">
          <cell r="C2726" t="str">
            <v>ТОО ФИРМА АКВА</v>
          </cell>
        </row>
        <row r="2727">
          <cell r="C2727" t="str">
            <v>ТОО ФИРМА ДИАМЕХ</v>
          </cell>
        </row>
        <row r="2728">
          <cell r="C2728" t="str">
            <v>ТОО ФИРМА ДРАЙ</v>
          </cell>
        </row>
        <row r="2729">
          <cell r="C2729" t="str">
            <v>ТОО ФИРМА КАМКО</v>
          </cell>
        </row>
        <row r="2730">
          <cell r="C2730" t="str">
            <v>ТОО ФИРМА РАДИУС-СЕРВИС</v>
          </cell>
        </row>
        <row r="2731">
          <cell r="C2731" t="str">
            <v>ТОО ФИРМА РУБИКОН</v>
          </cell>
        </row>
        <row r="2732">
          <cell r="C2732" t="str">
            <v>ТОО ФИРМА САМШИТ</v>
          </cell>
        </row>
        <row r="2733">
          <cell r="C2733" t="str">
            <v>ТОО ФИРМА САНА-ИР</v>
          </cell>
        </row>
        <row r="2734">
          <cell r="C2734" t="str">
            <v>ТОО ФИРМА САТУРН</v>
          </cell>
        </row>
        <row r="2735">
          <cell r="C2735" t="str">
            <v>ТОО ФИРМА САТУРН</v>
          </cell>
        </row>
        <row r="2736">
          <cell r="C2736" t="str">
            <v>ТОО ФИРМА ЭКОС</v>
          </cell>
        </row>
        <row r="2737">
          <cell r="C2737" t="str">
            <v>ТОО ФИРМА ЭМБИ</v>
          </cell>
        </row>
        <row r="2738">
          <cell r="C2738" t="str">
            <v>ТОО ФЛЭК</v>
          </cell>
        </row>
        <row r="2739">
          <cell r="C2739" t="str">
            <v>ТОО ХИТ</v>
          </cell>
        </row>
        <row r="2740">
          <cell r="C2740" t="str">
            <v>ТОО ХИТ</v>
          </cell>
        </row>
        <row r="2741">
          <cell r="C2741" t="str">
            <v>ТОО ХК АГРОХИМ</v>
          </cell>
        </row>
        <row r="2742">
          <cell r="C2742" t="str">
            <v>ТОО ХОЛОД</v>
          </cell>
        </row>
        <row r="2743">
          <cell r="C2743" t="str">
            <v>ТОО ХОРТОН ЛИМИТЕД</v>
          </cell>
        </row>
        <row r="2744">
          <cell r="C2744" t="str">
            <v>ТОО ЦЕМКОМПЛЕКТ г.БЕРЕЗНИКИ</v>
          </cell>
        </row>
        <row r="2745">
          <cell r="C2745" t="str">
            <v>ТОО ЦЕМКОМПЛЕКТ г.БЕРЕЗНИКИ</v>
          </cell>
        </row>
        <row r="2746">
          <cell r="C2746" t="str">
            <v>ТОО ЦЕНТР</v>
          </cell>
        </row>
        <row r="2747">
          <cell r="C2747" t="str">
            <v>ТОО ЦУНАМИ</v>
          </cell>
        </row>
        <row r="2748">
          <cell r="C2748" t="str">
            <v>ТОО ЭЙМ</v>
          </cell>
        </row>
        <row r="2749">
          <cell r="C2749" t="str">
            <v>ТОО ЭКОЛОГ</v>
          </cell>
        </row>
        <row r="2750">
          <cell r="C2750" t="str">
            <v>ТОО ЭКОСИСТЕМА</v>
          </cell>
        </row>
        <row r="2751">
          <cell r="C2751" t="str">
            <v>ТОО ЭКОТУР</v>
          </cell>
        </row>
        <row r="2752">
          <cell r="C2752" t="str">
            <v>ТОО ЭЛЕКТРОМОНТАЖНИК</v>
          </cell>
        </row>
        <row r="2753">
          <cell r="C2753" t="str">
            <v>ТОО ЭЛЕЭЛЕКТРОМЕРА</v>
          </cell>
        </row>
        <row r="2754">
          <cell r="C2754" t="str">
            <v>ТОО ЭЛЛЕГИЯ</v>
          </cell>
        </row>
        <row r="2755">
          <cell r="C2755" t="str">
            <v>ТОО ЭЛЛЕГИЯ</v>
          </cell>
        </row>
        <row r="2756">
          <cell r="C2756" t="str">
            <v>ТОО ЭЛЛИС</v>
          </cell>
        </row>
        <row r="2757">
          <cell r="C2757" t="str">
            <v>ТОО ЭНЕС</v>
          </cell>
        </row>
        <row r="2758">
          <cell r="C2758" t="str">
            <v>ТОО ЭНИКС</v>
          </cell>
        </row>
        <row r="2759">
          <cell r="C2759" t="str">
            <v>ТОО ЭРА</v>
          </cell>
        </row>
        <row r="2760">
          <cell r="C2760" t="str">
            <v>ТОО ЭРА</v>
          </cell>
        </row>
        <row r="2761">
          <cell r="C2761" t="str">
            <v>ТОО ЭХЗ</v>
          </cell>
        </row>
        <row r="2762">
          <cell r="C2762" t="str">
            <v>ТОО ЭХЗ</v>
          </cell>
        </row>
        <row r="2763">
          <cell r="C2763" t="str">
            <v>ТОО ЮВИТА</v>
          </cell>
        </row>
        <row r="2764">
          <cell r="C2764" t="str">
            <v>ТОО ЮНОНА</v>
          </cell>
        </row>
        <row r="2765">
          <cell r="C2765" t="str">
            <v>ТОО ЮНОНА</v>
          </cell>
        </row>
        <row r="2766">
          <cell r="C2766" t="str">
            <v>ТОО ЮРОЛ</v>
          </cell>
        </row>
        <row r="2767">
          <cell r="C2767" t="str">
            <v>ТОРГОВАЯ ФИРМА ПЕРММАШТОРГ</v>
          </cell>
        </row>
        <row r="2768">
          <cell r="C2768" t="str">
            <v>ТОРГОВЫЙ ДОМ КИТ</v>
          </cell>
        </row>
        <row r="2769">
          <cell r="C2769" t="str">
            <v>ТОРГОВЫЙ ДОМ СПОРТ</v>
          </cell>
        </row>
        <row r="2770">
          <cell r="C2770" t="str">
            <v>ТП ВЕСТА</v>
          </cell>
        </row>
        <row r="2771">
          <cell r="C2771" t="str">
            <v>ТП ВЕСТА</v>
          </cell>
        </row>
        <row r="2772">
          <cell r="C2772" t="str">
            <v>ТП СТЕФ</v>
          </cell>
        </row>
        <row r="2773">
          <cell r="C2773" t="str">
            <v>ТП ЮНОНА</v>
          </cell>
        </row>
        <row r="2774">
          <cell r="C2774" t="str">
            <v>ТПО ПЕРМГАЗОФИКАЦИЯ</v>
          </cell>
        </row>
        <row r="2775">
          <cell r="C2775" t="str">
            <v>ТПП ПЕРМТОРГНЕФТЬ</v>
          </cell>
        </row>
        <row r="2776">
          <cell r="C2776" t="str">
            <v>ТПФ Б-М-Е</v>
          </cell>
        </row>
        <row r="2777">
          <cell r="C2777" t="str">
            <v>ТРЕСТ ПЕРМДОРСТРОЙ</v>
          </cell>
        </row>
        <row r="2778">
          <cell r="C2778" t="str">
            <v>ТРЕСТ СЕВУРАЛСАНТЕХМОНТАЖ</v>
          </cell>
        </row>
        <row r="2779">
          <cell r="C2779" t="str">
            <v>ТРЕТЬЯКОВ В.В.</v>
          </cell>
        </row>
        <row r="2780">
          <cell r="C2780" t="str">
            <v>ТУКАЕВ Р.Х.</v>
          </cell>
        </row>
        <row r="2781">
          <cell r="C2781" t="str">
            <v>ТФ ВИКТОРИЯ</v>
          </cell>
        </row>
        <row r="2782">
          <cell r="C2782" t="str">
            <v>ТФ ВИКТОРИЯ</v>
          </cell>
        </row>
        <row r="2783">
          <cell r="C2783" t="str">
            <v>ТЮРИКОВА Л.Е.</v>
          </cell>
        </row>
        <row r="2784">
          <cell r="C2784" t="str">
            <v>У/ПОЛАЗНА</v>
          </cell>
        </row>
        <row r="2785">
          <cell r="C2785" t="str">
            <v>УВАРОВ С.П.</v>
          </cell>
        </row>
        <row r="2786">
          <cell r="C2786" t="str">
            <v>УВАРОВА Г.М.</v>
          </cell>
        </row>
        <row r="2787">
          <cell r="C2787" t="str">
            <v>УГП САЛОН ПРИБОРЫ</v>
          </cell>
        </row>
        <row r="2788">
          <cell r="C2788" t="str">
            <v>УГПС УВД ПЕРМСКОЙ ОБЛ.</v>
          </cell>
        </row>
        <row r="2789">
          <cell r="C2789" t="str">
            <v>Узбеков Д.М.</v>
          </cell>
        </row>
        <row r="2790">
          <cell r="C2790" t="str">
            <v>УЗЕЛ ФЕДЕРАЛЬНОЙ ПОЧТОВОЙ СВЯЗИ</v>
          </cell>
        </row>
        <row r="2791">
          <cell r="C2791" t="str">
            <v>УЗЕЛ ФЕДЕРАЛЬНОЙ ПОЧТОВОЙ СВЯЗИ</v>
          </cell>
        </row>
        <row r="2792">
          <cell r="C2792" t="str">
            <v>УИЦ ГАНГ ИМ.И.М.ГУБКИНА</v>
          </cell>
        </row>
        <row r="2793">
          <cell r="C2793" t="str">
            <v>УМ РЕМОНТНО-ЭКСПЛУАТ.ПРЕДПР.ЗАКАМА</v>
          </cell>
        </row>
        <row r="2794">
          <cell r="C2794" t="str">
            <v>УМ-3 тр.15</v>
          </cell>
        </row>
        <row r="2795">
          <cell r="C2795" t="str">
            <v>УМ-3 тр.15</v>
          </cell>
        </row>
        <row r="2796">
          <cell r="C2796" t="str">
            <v>УМС и РД ПЕРМАВТОДОР</v>
          </cell>
        </row>
        <row r="2797">
          <cell r="C2797" t="str">
            <v>УМС ПЕРМАВТОДОР</v>
          </cell>
        </row>
        <row r="2798">
          <cell r="C2798" t="str">
            <v>УМТ И ХО УВД ПЕРМСКОЙ ОБЛАСТИ</v>
          </cell>
        </row>
        <row r="2799">
          <cell r="C2799" t="str">
            <v>УМТС АО УРАЛКАЛИЙ</v>
          </cell>
        </row>
        <row r="2800">
          <cell r="C2800" t="str">
            <v>УМТС АО УРАЛКАЛИЙ</v>
          </cell>
        </row>
        <row r="2801">
          <cell r="C2801" t="str">
            <v>УНИВЕРМАГ ОБЛ.УПРАВЛЕНИЯ</v>
          </cell>
        </row>
        <row r="2802">
          <cell r="C2802" t="str">
            <v>УНИВЕРСАМ</v>
          </cell>
        </row>
        <row r="2803">
          <cell r="C2803" t="str">
            <v>УНИВЕРСАМ</v>
          </cell>
        </row>
        <row r="2804">
          <cell r="C2804" t="str">
            <v>УПИ-ХИМ-ХОЛДИНГ</v>
          </cell>
        </row>
        <row r="2805">
          <cell r="C2805" t="str">
            <v>УПНП И КРС</v>
          </cell>
        </row>
        <row r="2806">
          <cell r="C2806" t="str">
            <v>УПНТ И КРС</v>
          </cell>
        </row>
        <row r="2807">
          <cell r="C2807" t="str">
            <v>УПО УВО ПЕРМОБЛИСПОЛКОМА</v>
          </cell>
        </row>
        <row r="2808">
          <cell r="C2808" t="str">
            <v>УПР.БАЛУЕВА В.А.</v>
          </cell>
        </row>
        <row r="2809">
          <cell r="C2809" t="str">
            <v>УПР.ГОС.ПРОТИВОПОЖ.СЛУЖБЫ УВД ПЕРМ.</v>
          </cell>
        </row>
        <row r="2810">
          <cell r="C2810" t="str">
            <v>УПР.САЖИНА И.Н.</v>
          </cell>
        </row>
        <row r="2811">
          <cell r="C2811" t="str">
            <v>УПР.УВАРОВА Г.М.</v>
          </cell>
        </row>
        <row r="2812">
          <cell r="C2812" t="str">
            <v>УПРАВЛ.ОБРАЗОВ.И МОЛОДЕЖИ АДМ.БЕРЕЗ</v>
          </cell>
        </row>
        <row r="2813">
          <cell r="C2813" t="str">
            <v>УПРАВЛЕНИЕ АРХИТЕКТУРЫ И ГРАДОСТРОИТЕЛЬСТВА</v>
          </cell>
        </row>
        <row r="2814">
          <cell r="C2814" t="str">
            <v>УПРАВЛЕНИЕ ГОСТЕХНАДЗОРА</v>
          </cell>
        </row>
        <row r="2815">
          <cell r="C2815" t="str">
            <v>УПРАВЛЕНИЕ КОМПЛЕКТ.ТОО тр.15</v>
          </cell>
        </row>
        <row r="2816">
          <cell r="C2816" t="str">
            <v>УПРАВЛЕНИЕ КОМПЛЕКТ.ТОО тр.15</v>
          </cell>
        </row>
        <row r="2817">
          <cell r="C2817" t="str">
            <v>УПРАВЛЕНИЕ МЕХАНИЗАЦИИ АО БПСО</v>
          </cell>
        </row>
        <row r="2818">
          <cell r="C2818" t="str">
            <v>УПРАВЛЕНИЕ МЕХАНИЗАЦИИ АО БПСО</v>
          </cell>
        </row>
        <row r="2819">
          <cell r="C2819" t="str">
            <v>УПРАВЛЕНИЕ ПЕРМНЕФТЕГАЗ</v>
          </cell>
        </row>
        <row r="2820">
          <cell r="C2820" t="str">
            <v>УПРАВЛЕНИЕ ПЕРМНЕФТЕГАЗ</v>
          </cell>
        </row>
        <row r="2821">
          <cell r="C2821" t="str">
            <v>УПРАВЛЕНИЕ ПЕРМНЕФТЕГАЗ</v>
          </cell>
        </row>
        <row r="2822">
          <cell r="C2822" t="str">
            <v>УПРАВЛЕНИЕ ПЕРМСКОЙ ЕПАРХИИ</v>
          </cell>
        </row>
        <row r="2823">
          <cell r="C2823" t="str">
            <v>УПРАВЛЕНИЕ ПО ДЕЛАМ ОБРАЗОВ.И МОЛОДЕЖИ</v>
          </cell>
        </row>
        <row r="2824">
          <cell r="C2824" t="str">
            <v>УПРАВЛЕНИЕ ПРОМЫШЛ.И С/ХОЗ-ВА</v>
          </cell>
        </row>
        <row r="2825">
          <cell r="C2825" t="str">
            <v>УПРАВЛЕНИЕ СПЕЦ.СВЯЗИ ПО ПЕРМСКОЙ ОБЛ.</v>
          </cell>
        </row>
        <row r="2826">
          <cell r="C2826" t="str">
            <v>УПРАВЛЕНИЕ УТТ</v>
          </cell>
        </row>
        <row r="2827">
          <cell r="C2827" t="str">
            <v>УПР-Е ЖКХ ЖПЭТ 1 г.БЕРЕЗНИКИ</v>
          </cell>
        </row>
        <row r="2828">
          <cell r="C2828" t="str">
            <v>УПТОиКО УНГГ</v>
          </cell>
        </row>
        <row r="2829">
          <cell r="C2829" t="str">
            <v>УРАЛ-ВАХТА</v>
          </cell>
        </row>
        <row r="2830">
          <cell r="C2830" t="str">
            <v>УРАЛ-ВЕНЧУР Я/С 81</v>
          </cell>
        </row>
        <row r="2831">
          <cell r="C2831" t="str">
            <v>УРАЛ-ИНСТРУМЕНТ ПУМОРИ</v>
          </cell>
        </row>
        <row r="2832">
          <cell r="C2832" t="str">
            <v>УРАЛО-СИБИРСК.ДОМ ЭКОН.И НАУЧ.ПРОПАГАНДЫ</v>
          </cell>
        </row>
        <row r="2833">
          <cell r="C2833" t="str">
            <v>УРАЛСЕРИЯ</v>
          </cell>
        </row>
        <row r="2834">
          <cell r="C2834" t="str">
            <v>УРАЛЬСКИЙ АВТОМОБИЛЬНЫЙ ЗАВОД</v>
          </cell>
        </row>
        <row r="2835">
          <cell r="C2835" t="str">
            <v>УРАЛЬСКИЙ АВТОМОБИЛЬНЫЙ ЗАВОД</v>
          </cell>
        </row>
        <row r="2836">
          <cell r="C2836" t="str">
            <v>УРАЛЬСКИЙ НИИ БЫТХИМИИ</v>
          </cell>
        </row>
        <row r="2837">
          <cell r="C2837" t="str">
            <v>УРАЛЬСКИЙ ПЕД.УН-Т</v>
          </cell>
        </row>
        <row r="2838">
          <cell r="C2838" t="str">
            <v>УРАЛЬСКИЙ ЦЕНТР ПСЭН</v>
          </cell>
        </row>
        <row r="2839">
          <cell r="C2839" t="str">
            <v>УРАЛЬСКИЙ ЦЕНТР СТАНДАРТИЗАЦИИ,МЕТРОЛОГИИ,СЕРТ-ЦИИ</v>
          </cell>
        </row>
        <row r="2840">
          <cell r="C2840" t="str">
            <v>УРАЛЭНЕРГОСАНТЕХМОНТАЖ</v>
          </cell>
        </row>
        <row r="2841">
          <cell r="C2841" t="str">
            <v>УС ПЕРМСКОЙ ГРЭС</v>
          </cell>
        </row>
        <row r="2842">
          <cell r="C2842" t="str">
            <v>УС ПЕРМСКОЙ ГРЭС</v>
          </cell>
        </row>
        <row r="2843">
          <cell r="C2843" t="str">
            <v>УСЛУГИ ГОСТИНИЦЫ И ОБЩЕЖИТИЯ</v>
          </cell>
        </row>
        <row r="2844">
          <cell r="C2844" t="str">
            <v>УСЛУГИ НАСЕЛЕНИЮ (ПСХ)</v>
          </cell>
        </row>
        <row r="2845">
          <cell r="C2845" t="str">
            <v>УСО</v>
          </cell>
        </row>
        <row r="2846">
          <cell r="C2846" t="str">
            <v>УСОВ О.И.</v>
          </cell>
        </row>
        <row r="2847">
          <cell r="C2847" t="str">
            <v>УСОВА Т.А.</v>
          </cell>
        </row>
        <row r="2848">
          <cell r="C2848" t="str">
            <v>УСОЛЬСКИЙ КОМИТЕТ ПО ЗЕМЕЛЬНЫМ РЕСУРСАМ</v>
          </cell>
        </row>
        <row r="2849">
          <cell r="C2849" t="str">
            <v>УСОЛЬСКИЙ КОМИТЕТ ПО ОХР.ПР-ДЫ</v>
          </cell>
        </row>
        <row r="2850">
          <cell r="C2850" t="str">
            <v>УСОЛЬСКИЙ МЕСТНЫЙ БЮДЖЕТ</v>
          </cell>
        </row>
        <row r="2851">
          <cell r="C2851" t="str">
            <v>УСОЛЬСКИЙ РАЙОННЫЙ БЮДЖЕТ</v>
          </cell>
        </row>
        <row r="2852">
          <cell r="C2852" t="str">
            <v>УСОЛЬСКИЙ РАЙОННЫЙ КОМИТЕТ ПО ОХРАНЕ ПРИРОДЫ</v>
          </cell>
        </row>
        <row r="2853">
          <cell r="C2853" t="str">
            <v>УСОЛЬСКИЙ ФЕДЕРАЛЬНЫЙ БЮДЖЕТ</v>
          </cell>
        </row>
        <row r="2854">
          <cell r="C2854" t="str">
            <v>УСОЛЬСКИЙ ЦЕНТР ГСЭН</v>
          </cell>
        </row>
        <row r="2855">
          <cell r="C2855" t="str">
            <v>УСОЛЬСКОЕ РАЙФО</v>
          </cell>
        </row>
        <row r="2856">
          <cell r="C2856" t="str">
            <v>УТФ АЛЕКСАНДР</v>
          </cell>
        </row>
        <row r="2857">
          <cell r="C2857" t="str">
            <v>УТФ АЛЕКСАНДР</v>
          </cell>
        </row>
        <row r="2858">
          <cell r="C2858" t="str">
            <v>УФИМСКОЕ НАЛАД.УПР-Е АО НЕФТЕАВТОМА</v>
          </cell>
        </row>
        <row r="2859">
          <cell r="C2859" t="str">
            <v>УЧАСТОК МЕХАНИЗ. СТРОИТЕЛЬСТВА</v>
          </cell>
        </row>
        <row r="2860">
          <cell r="C2860" t="str">
            <v>УЧЕБНО-ИССЛЕД ЦЕНТР ПО ПРОБЛ ПОВЫШП</v>
          </cell>
        </row>
        <row r="2861">
          <cell r="C2861" t="str">
            <v>УЧЕБНЫЙ ЦЕНТР ГАРМОНИЯ</v>
          </cell>
        </row>
        <row r="2862">
          <cell r="C2862" t="str">
            <v>УЧ-К КАП.РЕМОНТА СКВАЖИН</v>
          </cell>
        </row>
        <row r="2863">
          <cell r="C2863" t="str">
            <v>УЧРЕЖДЕНИЕ АМ-244/24</v>
          </cell>
        </row>
        <row r="2864">
          <cell r="C2864" t="str">
            <v>УЧРЕЖДЕНИЕ АМ-244/24</v>
          </cell>
        </row>
        <row r="2865">
          <cell r="C2865" t="str">
            <v>УЧРЕЖДЕНИЕ УТ 389/30</v>
          </cell>
        </row>
        <row r="2866">
          <cell r="C2866" t="str">
            <v>УЧРЕЖДЕНИЕ УТ 389/32</v>
          </cell>
        </row>
        <row r="2867">
          <cell r="C2867" t="str">
            <v>ФЕДЕР ГОРНЫЙ И ПРОМ НАДЗОР РОССИИ</v>
          </cell>
        </row>
        <row r="2868">
          <cell r="C2868" t="str">
            <v>ФЕДЕРАЛЬНЫЙ БЮДЖЕТ</v>
          </cell>
        </row>
        <row r="2869">
          <cell r="C2869" t="str">
            <v>ФЕДЕРАЛЬНЫЙ БЮДЖЕТ</v>
          </cell>
        </row>
        <row r="2870">
          <cell r="C2870" t="str">
            <v>ФЕДОСЕЕВ П.И.</v>
          </cell>
        </row>
        <row r="2871">
          <cell r="C2871" t="str">
            <v>ФИЛИАЛ ВОЛТАЙР ВОЛЖСКОГО ШИН.З-ДА</v>
          </cell>
        </row>
        <row r="2872">
          <cell r="C2872" t="str">
            <v>ФИЛИАЛ ИСКРА</v>
          </cell>
        </row>
        <row r="2873">
          <cell r="C2873" t="str">
            <v>ФИЛИАЛ КВАНТ АО ПРОМЭЛЕКТРОМОНТАЖ</v>
          </cell>
        </row>
        <row r="2874">
          <cell r="C2874" t="str">
            <v>ФИЛИАЛ ОАО СВЯЗЬТРАНСНЕФТЬ  ЗУПТУС</v>
          </cell>
        </row>
        <row r="2875">
          <cell r="C2875" t="str">
            <v>ФИЛИАЛ ОАО СВЯЗЬТРАНСНЕФТЬ  ЗУПТУС</v>
          </cell>
        </row>
        <row r="2876">
          <cell r="C2876" t="str">
            <v>ФИЛИАЛ ОАО СВЯЗЬТРАНСНЕФТЬ  ЗУПТУС</v>
          </cell>
        </row>
        <row r="2877">
          <cell r="C2877" t="str">
            <v>ФИЛИАЛ УРАЛЭНЕРГОИЗОЛЯЦИЯ</v>
          </cell>
        </row>
        <row r="2878">
          <cell r="C2878" t="str">
            <v>ФИЛИАЛ УРАЛЭНЕРГОИЗОЛЯЦИЯ</v>
          </cell>
        </row>
        <row r="2879">
          <cell r="C2879" t="str">
            <v>ФИЛИАЛ УРАЛЭНЕРГОХИМЗАЩИТА</v>
          </cell>
        </row>
        <row r="2880">
          <cell r="C2880" t="str">
            <v>ФИЛИАЛ УРАЛЭНЕРГОХИМЗАЩИТА</v>
          </cell>
        </row>
        <row r="2881">
          <cell r="C2881" t="str">
            <v>ФИЛИАЛ ЭНЕРГОСБЫТ АО ПЭ</v>
          </cell>
        </row>
        <row r="2882">
          <cell r="C2882" t="str">
            <v>ФИНАНСОВОЕ УПРАВЛЕНИЕ АДМИНИСТРАЦИИ ОБЛ.</v>
          </cell>
        </row>
        <row r="2883">
          <cell r="C2883" t="str">
            <v>ФИНАНСОВО-ЭКОНОМИЧЕСКОЕ УПРАВЛЕНИЕ Г.ДОБРЯНКА</v>
          </cell>
        </row>
        <row r="2884">
          <cell r="C2884" t="str">
            <v>ФИНАНСОВЫЙ ОТДЕЛ АДМИНИСТРАЦИИ</v>
          </cell>
        </row>
        <row r="2885">
          <cell r="C2885" t="str">
            <v>ФИНАНСОВЫЙ ОТДЕЛ АДМИНИСТРАЦИИ Г.УСОЛЬЕ</v>
          </cell>
        </row>
        <row r="2886">
          <cell r="C2886" t="str">
            <v>ФИНАНСОВЫЙ ОТДЕЛ Г.ГУБАХА</v>
          </cell>
        </row>
        <row r="2887">
          <cell r="C2887" t="str">
            <v>ФИРМА АПКЕС</v>
          </cell>
        </row>
        <row r="2888">
          <cell r="C2888" t="str">
            <v>ФИРМА АСЛАН</v>
          </cell>
        </row>
        <row r="2889">
          <cell r="C2889" t="str">
            <v>ФИРМА АСЛАН</v>
          </cell>
        </row>
        <row r="2890">
          <cell r="C2890" t="str">
            <v>ФИРМА АТРЕКС</v>
          </cell>
        </row>
        <row r="2891">
          <cell r="C2891" t="str">
            <v>ФИРМА БИЗНЕС СТРИТ</v>
          </cell>
        </row>
        <row r="2892">
          <cell r="C2892" t="str">
            <v>ФИРМА ВИБРО-ЦЕНТР</v>
          </cell>
        </row>
        <row r="2893">
          <cell r="C2893" t="str">
            <v>ФИРМА ВИБРО-ЦЕНТР</v>
          </cell>
        </row>
        <row r="2894">
          <cell r="C2894" t="str">
            <v>ФИРМА ВИКО</v>
          </cell>
        </row>
        <row r="2895">
          <cell r="C2895" t="str">
            <v>ФИРМА ВИТОЛ</v>
          </cell>
        </row>
        <row r="2896">
          <cell r="C2896" t="str">
            <v>ФИРМА ГЕММА</v>
          </cell>
        </row>
        <row r="2897">
          <cell r="C2897" t="str">
            <v>ФИРМА ГЕНЕЗИС</v>
          </cell>
        </row>
        <row r="2898">
          <cell r="C2898" t="str">
            <v>ФИРМА ДАУГЕЛЛО</v>
          </cell>
        </row>
        <row r="2899">
          <cell r="C2899" t="str">
            <v>ФИРМА ЕМБ ГМБХ</v>
          </cell>
        </row>
        <row r="2900">
          <cell r="C2900" t="str">
            <v>ФИРМА ЗАПАДУРАЛГАЗСЕРВИС</v>
          </cell>
        </row>
        <row r="2901">
          <cell r="C2901" t="str">
            <v>ФИРМА ИВС</v>
          </cell>
        </row>
        <row r="2902">
          <cell r="C2902" t="str">
            <v>ФИРМА ИДЖАТ</v>
          </cell>
        </row>
        <row r="2903">
          <cell r="C2903" t="str">
            <v>ФИРМА МБУ</v>
          </cell>
        </row>
        <row r="2904">
          <cell r="C2904" t="str">
            <v>ФИРМА МЕХА</v>
          </cell>
        </row>
        <row r="2905">
          <cell r="C2905" t="str">
            <v>ФИРМА МЕХАНИКА-СЕРВИС</v>
          </cell>
        </row>
        <row r="2906">
          <cell r="C2906" t="str">
            <v>ФИРМА МОДУЛЬ</v>
          </cell>
        </row>
        <row r="2907">
          <cell r="C2907" t="str">
            <v>ФИРМА НОВИНА</v>
          </cell>
        </row>
        <row r="2908">
          <cell r="C2908" t="str">
            <v>ФИРМА ОКТА</v>
          </cell>
        </row>
        <row r="2909">
          <cell r="C2909" t="str">
            <v>ФИРМА ПАРГЕН ЛТД</v>
          </cell>
        </row>
        <row r="2910">
          <cell r="C2910" t="str">
            <v>ФИРМА ПЕРМНЕФТЕХИМЭЛ</v>
          </cell>
        </row>
        <row r="2911">
          <cell r="C2911" t="str">
            <v>ФИРМА ПЕРМТОРГ</v>
          </cell>
        </row>
        <row r="2912">
          <cell r="C2912" t="str">
            <v>ФИРМА ПРОИМПЕКС</v>
          </cell>
        </row>
        <row r="2913">
          <cell r="C2913" t="str">
            <v>ФИРМА РИТИДОМ</v>
          </cell>
        </row>
        <row r="2914">
          <cell r="C2914" t="str">
            <v>ФИРМА РУСТА</v>
          </cell>
        </row>
        <row r="2915">
          <cell r="C2915" t="str">
            <v>ФИРМА САЛ</v>
          </cell>
        </row>
        <row r="2916">
          <cell r="C2916" t="str">
            <v>ФИРМА САНКОРД</v>
          </cell>
        </row>
        <row r="2917">
          <cell r="C2917" t="str">
            <v>ФИРМА САНКОРД</v>
          </cell>
        </row>
        <row r="2918">
          <cell r="C2918" t="str">
            <v>ФИРМА СЕЛЬСКИЕ ДОРОГИ</v>
          </cell>
        </row>
        <row r="2919">
          <cell r="C2919" t="str">
            <v>ФИРМА СИМЕНС</v>
          </cell>
        </row>
        <row r="2920">
          <cell r="C2920" t="str">
            <v>ФИРМА СИНТЕХ</v>
          </cell>
        </row>
        <row r="2921">
          <cell r="C2921" t="str">
            <v>ФИРМА СТЕНЛИ г.МОСКВА</v>
          </cell>
        </row>
        <row r="2922">
          <cell r="C2922" t="str">
            <v>ФИРМА ТЕРЦЕТ</v>
          </cell>
        </row>
        <row r="2923">
          <cell r="C2923" t="str">
            <v>ФИРМА ТРИКОН-ПН г.ПЕРМЬ</v>
          </cell>
        </row>
        <row r="2924">
          <cell r="C2924" t="str">
            <v>ФИРМА УРАЛ-ИНСТРУМЕНТ-ПУМОРИ</v>
          </cell>
        </row>
        <row r="2925">
          <cell r="C2925" t="str">
            <v>ФИРМА УРАЛХИММОНТАЖ</v>
          </cell>
        </row>
        <row r="2926">
          <cell r="C2926" t="str">
            <v>ФИРМА ФАН</v>
          </cell>
        </row>
        <row r="2927">
          <cell r="C2927" t="str">
            <v>ФИРМА ЭКС-КОМ</v>
          </cell>
        </row>
        <row r="2928">
          <cell r="C2928" t="str">
            <v>ФИРМА ЭНЕРГИЯ-СЕРВИС</v>
          </cell>
        </row>
        <row r="2929">
          <cell r="C2929" t="str">
            <v>ФИРМА ЮЖЭКОЦЕНТР ТОО ПРИ РИИЖТЕ</v>
          </cell>
        </row>
        <row r="2930">
          <cell r="C2930" t="str">
            <v>ФОКЕЕВ А.Г.</v>
          </cell>
        </row>
        <row r="2931">
          <cell r="C2931" t="str">
            <v>ФОМИНА Т.М.</v>
          </cell>
        </row>
        <row r="2932">
          <cell r="C2932" t="str">
            <v>ФОМИНЫХ Н.Н.</v>
          </cell>
        </row>
        <row r="2933">
          <cell r="C2933" t="str">
            <v>ФОНД БЛАГОДОРЕНИЯ</v>
          </cell>
        </row>
        <row r="2934">
          <cell r="C2934" t="str">
            <v>ФОНД ОХРАНЫ ПРИРОДЫ</v>
          </cell>
        </row>
        <row r="2935">
          <cell r="C2935" t="str">
            <v>ФОНД ПРИМОРСКОГО КРАЯ</v>
          </cell>
        </row>
        <row r="2936">
          <cell r="C2936" t="str">
            <v>ФОНД СОЦИАЛЬНОЙ ЗАЩИТЫ</v>
          </cell>
        </row>
        <row r="2937">
          <cell r="C2937" t="str">
            <v>ФОНД СОЦИАЛЬНОЙ ЗАЩИТЫ</v>
          </cell>
        </row>
        <row r="2938">
          <cell r="C2938" t="str">
            <v>ФОФАНОВ И.Д.</v>
          </cell>
        </row>
        <row r="2939">
          <cell r="C2939" t="str">
            <v>ФУРИН А.В.</v>
          </cell>
        </row>
        <row r="2940">
          <cell r="C2940" t="str">
            <v>ФУРИН В.М.</v>
          </cell>
        </row>
        <row r="2941">
          <cell r="C2941" t="str">
            <v>Х/Р КОММЕРЧЕСКИЙ ЦЕНТР</v>
          </cell>
        </row>
        <row r="2942">
          <cell r="C2942" t="str">
            <v>ХНИЛ УНИФЕТ</v>
          </cell>
        </row>
        <row r="2943">
          <cell r="C2943" t="str">
            <v>ХНИЛ УНИФЭТ</v>
          </cell>
        </row>
        <row r="2944">
          <cell r="C2944" t="str">
            <v>ХНИЛ ЭКОП УФИМС.Н/Т</v>
          </cell>
        </row>
        <row r="2945">
          <cell r="C2945" t="str">
            <v>ХОЗ.АССОЦИАЦИЯ ПЕРМКООПЗАГОТПРОМТОР</v>
          </cell>
        </row>
        <row r="2946">
          <cell r="C2946" t="str">
            <v>ХОЗ/СОДЕРЖАНИЕ Д/С</v>
          </cell>
        </row>
        <row r="2947">
          <cell r="C2947" t="str">
            <v>ХРПУ тр.ПЕРМДОРСТРОЙ</v>
          </cell>
        </row>
        <row r="2948">
          <cell r="C2948" t="str">
            <v>ХРПУ тр.ПЕРМДОРСТРОЙ</v>
          </cell>
        </row>
        <row r="2949">
          <cell r="C2949" t="str">
            <v>ХСП САТУРН</v>
          </cell>
        </row>
        <row r="2950">
          <cell r="C2950" t="str">
            <v>ХУДОЖЕСТВЕННАЯ МАСТЕРСКАЯ</v>
          </cell>
        </row>
        <row r="2951">
          <cell r="C2951" t="str">
            <v>ХУДОРОЖКОВ А.Н.</v>
          </cell>
        </row>
        <row r="2952">
          <cell r="C2952" t="str">
            <v>ХУДЯКОВ В.А.</v>
          </cell>
        </row>
        <row r="2953">
          <cell r="C2953" t="str">
            <v>ЦАП</v>
          </cell>
        </row>
        <row r="2954">
          <cell r="C2954" t="str">
            <v>ЦАП                       за баланс</v>
          </cell>
        </row>
        <row r="2955">
          <cell r="C2955" t="str">
            <v>ЦАП МАРЬИН Н.А.</v>
          </cell>
        </row>
        <row r="2956">
          <cell r="C2956" t="str">
            <v>ЦАП МОКРОУСОВ</v>
          </cell>
        </row>
        <row r="2957">
          <cell r="C2957" t="str">
            <v>ЦАП НОВИЧКОВ В.М.</v>
          </cell>
        </row>
        <row r="2958">
          <cell r="C2958" t="str">
            <v>ЦАП ПЕРМЯКОВ П.И.</v>
          </cell>
        </row>
        <row r="2959">
          <cell r="C2959" t="str">
            <v>ЦАП РОЖКОВ О.М.</v>
          </cell>
        </row>
        <row r="2960">
          <cell r="C2960" t="str">
            <v>ЦАП СЕРКОВА Ф.И.</v>
          </cell>
        </row>
        <row r="2961">
          <cell r="C2961" t="str">
            <v>ЦАП ТРЕТЬЯКОВ В.В.</v>
          </cell>
        </row>
        <row r="2962">
          <cell r="C2962" t="str">
            <v>ЦАП ШУМ В.Д.</v>
          </cell>
        </row>
        <row r="2963">
          <cell r="C2963" t="str">
            <v>ЦБ ПРИ ОДКБ</v>
          </cell>
        </row>
        <row r="2964">
          <cell r="C2964" t="str">
            <v>ЦБПО ЭПУ г.АЛЬМЕТЬЕВСК</v>
          </cell>
        </row>
        <row r="2965">
          <cell r="C2965" t="str">
            <v>ЦДНГ-1</v>
          </cell>
        </row>
        <row r="2966">
          <cell r="C2966" t="str">
            <v>ЦДНГ-1                    за баланс</v>
          </cell>
        </row>
        <row r="2967">
          <cell r="C2967" t="str">
            <v>ЦДНГ-1 (СИБИРЬ)</v>
          </cell>
        </row>
        <row r="2968">
          <cell r="C2968" t="str">
            <v>ЦДНГ-1 (СИБИРЬ)</v>
          </cell>
        </row>
        <row r="2969">
          <cell r="C2969" t="str">
            <v>ЦДНГ-1 АЛИКИН В.И.</v>
          </cell>
        </row>
        <row r="2970">
          <cell r="C2970" t="str">
            <v>ЦДНГ-1 БОГАТЫРЕВ А.И</v>
          </cell>
        </row>
        <row r="2971">
          <cell r="C2971" t="str">
            <v>ЦДНГ-1 БОГАТЫРЕВ А.И.</v>
          </cell>
        </row>
        <row r="2972">
          <cell r="C2972" t="str">
            <v>ЦДНГ-1 БРЕЗГИН А.Р.</v>
          </cell>
        </row>
        <row r="2973">
          <cell r="C2973" t="str">
            <v>ЦДНГ-1 ДЕНИСОВА Л.В.</v>
          </cell>
        </row>
        <row r="2974">
          <cell r="C2974" t="str">
            <v>ЦДНГ-1 ЗУЕВ В.А.</v>
          </cell>
        </row>
        <row r="2975">
          <cell r="C2975" t="str">
            <v>ЦДНГ-1 КЕТОВ А.И.</v>
          </cell>
        </row>
        <row r="2976">
          <cell r="C2976" t="str">
            <v>ЦДНГ-1 КРУПИН Н.М.</v>
          </cell>
        </row>
        <row r="2977">
          <cell r="C2977" t="str">
            <v>ЦДНГ-1 НАЗАРОВ Ю.А.</v>
          </cell>
        </row>
        <row r="2978">
          <cell r="C2978" t="str">
            <v>ЦДНГ-1 ПЛЮСНИН В.К.</v>
          </cell>
        </row>
        <row r="2979">
          <cell r="C2979" t="str">
            <v>ЦДНГ-1 СЕМЕРИКОВ В.Н</v>
          </cell>
        </row>
        <row r="2980">
          <cell r="C2980" t="str">
            <v>ЦДНГ-1 СОЛОРЕВ А.Ф.</v>
          </cell>
        </row>
        <row r="2981">
          <cell r="C2981" t="str">
            <v>ЦДНГ-1 СОЛОРЕВ А.Ф.</v>
          </cell>
        </row>
        <row r="2982">
          <cell r="C2982" t="str">
            <v>ЦДНГ-1 ШАМБЕР Е.И.</v>
          </cell>
        </row>
        <row r="2983">
          <cell r="C2983" t="str">
            <v>ЦДНГ-2</v>
          </cell>
        </row>
        <row r="2984">
          <cell r="C2984" t="str">
            <v>ЦДНГ-2                    за баланс</v>
          </cell>
        </row>
        <row r="2985">
          <cell r="C2985" t="str">
            <v>ЦДНГ-2 ВАРЛАМОВ В.П.</v>
          </cell>
        </row>
        <row r="2986">
          <cell r="C2986" t="str">
            <v>ЦДНГ-2 ВОЛКОВ Г.Ю.</v>
          </cell>
        </row>
        <row r="2987">
          <cell r="C2987" t="str">
            <v>ЦДНГ-2 ЕПИШИН Б.Н.</v>
          </cell>
        </row>
        <row r="2988">
          <cell r="C2988" t="str">
            <v>ЦДНГ-2 МЕЦ А.И.</v>
          </cell>
        </row>
        <row r="2989">
          <cell r="C2989" t="str">
            <v>ЦЕНТР АГРОПРОМТЕХСНАБ</v>
          </cell>
        </row>
        <row r="2990">
          <cell r="C2990" t="str">
            <v>ЦЕНТР ГОССАНЭПИДНАДЗОРА Г.ДОБРЯНКА</v>
          </cell>
        </row>
        <row r="2991">
          <cell r="C2991" t="str">
            <v>ЦЕНТР ЕВРАЗИЯ</v>
          </cell>
        </row>
        <row r="2992">
          <cell r="C2992" t="str">
            <v>ЦЕНТР ИНФОМЕД</v>
          </cell>
        </row>
        <row r="2993">
          <cell r="C2993" t="str">
            <v>ЦЕНТР ЛИЦЕНЗИРОВАНИЯ</v>
          </cell>
        </row>
        <row r="2994">
          <cell r="C2994" t="str">
            <v>ЦЕНТР НЕЗАВИСИМЫХ ИССЛЕДОВАНИЙ</v>
          </cell>
        </row>
        <row r="2995">
          <cell r="C2995" t="str">
            <v>ЦЕНТР ОБРАЗОВАНИЯ ЗНАНИЕ</v>
          </cell>
        </row>
        <row r="2996">
          <cell r="C2996" t="str">
            <v>ЦЕНТР СПЕЦИАЛИЗ.И УСОВЕРШЕН.ВРАЧЕЙ</v>
          </cell>
        </row>
        <row r="2997">
          <cell r="C2997" t="str">
            <v>ЦЕНТР ТЕХНИЧЕСКОЙ ДИАГНОСТИКИ  ДИАСКАН</v>
          </cell>
        </row>
        <row r="2998">
          <cell r="C2998" t="str">
            <v>ЦЕНТР.ДИРЕКЦ.ДОБР.СЛ.</v>
          </cell>
        </row>
        <row r="2999">
          <cell r="C2999" t="str">
            <v>ЦЕНТРАЛЬН.БУХГ.ОДК-5</v>
          </cell>
        </row>
        <row r="3000">
          <cell r="C3000" t="str">
            <v>ЦЕНТРАЛЬНАЯ БАЗА ПР.ОБСЛ.Г АЛЬМЕТЬЕВСК</v>
          </cell>
        </row>
        <row r="3001">
          <cell r="C3001" t="str">
            <v>ЦЕНТРАЛЬНАЯ ЛАБ-РИЯ АФ УРАЛГАЗСЕРВИС</v>
          </cell>
        </row>
        <row r="3002">
          <cell r="C3002" t="str">
            <v>ЦЕНТРАЛЬНЫЕ ЭЛЕКТРИЧЕСКИЕ СЕТИ</v>
          </cell>
        </row>
        <row r="3003">
          <cell r="C3003" t="str">
            <v>ЦЕНТРАЛЬНЫЙ РОССИЙСКИЙ ДОМ ЗНАНИЙ</v>
          </cell>
        </row>
        <row r="3004">
          <cell r="C3004" t="str">
            <v>ЦЕРКОВЬ АРХАНГЕЛА МИХАИЛА П.ДЬВЬЯ</v>
          </cell>
        </row>
        <row r="3005">
          <cell r="C3005" t="str">
            <v>ЦМИПКС ПРИ МГСУ КАФЕДРА УПР.</v>
          </cell>
        </row>
        <row r="3006">
          <cell r="C3006" t="str">
            <v>ЦНИИМ</v>
          </cell>
        </row>
        <row r="3007">
          <cell r="C3007" t="str">
            <v>ЦНИОпроект-ИНВЕСТ</v>
          </cell>
        </row>
        <row r="3008">
          <cell r="C3008" t="str">
            <v>ЦНИПР</v>
          </cell>
        </row>
        <row r="3009">
          <cell r="C3009" t="str">
            <v>ЦНИПР                     за баланс</v>
          </cell>
        </row>
        <row r="3010">
          <cell r="C3010" t="str">
            <v>ЦНИПР КОВЗИКОВ А.Н.</v>
          </cell>
        </row>
        <row r="3011">
          <cell r="C3011" t="str">
            <v>ЦНИПР КРИВОЩЕКОВА О.Е.</v>
          </cell>
        </row>
        <row r="3012">
          <cell r="C3012" t="str">
            <v>ЦНИПР МЕЛЬНИК В.А.</v>
          </cell>
        </row>
        <row r="3013">
          <cell r="C3013" t="str">
            <v>ЦНИПР ХУДОРОЖКОВ А.Н</v>
          </cell>
        </row>
        <row r="3014">
          <cell r="C3014" t="str">
            <v>ЦНИПР ХУДОРОЖКОВ А.Н</v>
          </cell>
        </row>
        <row r="3015">
          <cell r="C3015" t="str">
            <v>ЦНТУ ЭКОЛОГИЯ-ЭКСПЕРИМЕНТ</v>
          </cell>
        </row>
        <row r="3016">
          <cell r="C3016" t="str">
            <v>ЦТРМ ТОРГТЕХНИКА</v>
          </cell>
        </row>
        <row r="3017">
          <cell r="C3017" t="str">
            <v>ЦУМ г.ПЕРМЬ</v>
          </cell>
        </row>
        <row r="3018">
          <cell r="C3018" t="str">
            <v>ЦЭС ОАО ПЕРМЭНЕРГО</v>
          </cell>
        </row>
        <row r="3019">
          <cell r="C3019" t="str">
            <v>ЧАСТНЫЕ ЛИЦА ЗА МАТЕРИАЛЫ</v>
          </cell>
        </row>
        <row r="3020">
          <cell r="C3020" t="str">
            <v>ЧАСТНЫЕ ЛИЦА ЗА НАЛИЧНЫЙ РАСЧЕТ</v>
          </cell>
        </row>
        <row r="3021">
          <cell r="C3021" t="str">
            <v>ЧАСТНЫЕ ЛИЦА ЗА ПУТЕВКИ</v>
          </cell>
        </row>
        <row r="3022">
          <cell r="C3022" t="str">
            <v>ЧАСТНЫЕ ЛИЦА ЗА ПУТЕВКИ</v>
          </cell>
        </row>
        <row r="3023">
          <cell r="C3023" t="str">
            <v>ЧАСТНЫЕ ЛИЦА ЗА ПУТЕВКИ</v>
          </cell>
        </row>
        <row r="3024">
          <cell r="C3024" t="str">
            <v>ЧЕБОКС АО ПРОМПРИБОР</v>
          </cell>
        </row>
        <row r="3025">
          <cell r="C3025" t="str">
            <v>ЧЕЛЯБИНСКОЕ ОБ-ВО ЗНАНИЕ</v>
          </cell>
        </row>
        <row r="3026">
          <cell r="C3026" t="str">
            <v>ЧЕРДЫНСКИЙ АГРОСЕРВИС</v>
          </cell>
        </row>
        <row r="3027">
          <cell r="C3027" t="str">
            <v>ЧЕРДЫНСКИЙ АГРОСЕРВИС</v>
          </cell>
        </row>
        <row r="3028">
          <cell r="C3028" t="str">
            <v>ЧЕРДЫНСКИЙ УЧАСТОК КРС</v>
          </cell>
        </row>
        <row r="3029">
          <cell r="C3029" t="str">
            <v>ЧЕРЕНЕВА В.Н.</v>
          </cell>
        </row>
        <row r="3030">
          <cell r="C3030" t="str">
            <v>ЧЕРЕПАНОВ С.В.</v>
          </cell>
        </row>
        <row r="3031">
          <cell r="C3031" t="str">
            <v>ЧЕРКАСОВ А.Д.</v>
          </cell>
        </row>
        <row r="3032">
          <cell r="C3032" t="str">
            <v>ЧЕРНОВИЦКИЙ МАШЗАВОД</v>
          </cell>
        </row>
        <row r="3033">
          <cell r="C3033" t="str">
            <v>ЧЕРНУШИНСКАЯ БАЗА ОАО ПЕРМТЕХСНАБНЕФТЬ</v>
          </cell>
        </row>
        <row r="3034">
          <cell r="C3034" t="str">
            <v>ЧЕРНУШИНСКАЯ БАЗА ОАО ПЕРМТЕХСНАБНЕФТЬ</v>
          </cell>
        </row>
        <row r="3035">
          <cell r="C3035" t="str">
            <v>ЧЕРНУШИНСКОЕ УГР</v>
          </cell>
        </row>
        <row r="3036">
          <cell r="C3036" t="str">
            <v>ЧЕРНУШИНСКОЕ УТТ</v>
          </cell>
        </row>
        <row r="3037">
          <cell r="C3037" t="str">
            <v>ЧЕРНЫХ И.А.</v>
          </cell>
        </row>
        <row r="3038">
          <cell r="C3038" t="str">
            <v>ЧЕРНЫХ И.В.</v>
          </cell>
        </row>
        <row r="3039">
          <cell r="C3039" t="str">
            <v>ЧИП ААВИК</v>
          </cell>
        </row>
        <row r="3040">
          <cell r="C3040" t="str">
            <v>ЧИРКОВА Г.И.</v>
          </cell>
        </row>
        <row r="3041">
          <cell r="C3041" t="str">
            <v>ЧП АЛЬБЕРТ</v>
          </cell>
        </row>
        <row r="3042">
          <cell r="C3042" t="str">
            <v>ЧП АСТАХОВА СВ.833</v>
          </cell>
        </row>
        <row r="3043">
          <cell r="C3043" t="str">
            <v>ЧП АФАНАСЕНКО Д.И.</v>
          </cell>
        </row>
        <row r="3044">
          <cell r="C3044" t="str">
            <v>ЧП БАЛДИН Ю.Н.</v>
          </cell>
        </row>
        <row r="3045">
          <cell r="C3045" t="str">
            <v>ЧП БАСИЕВА АНЖЕЛА БОРИСОВНА</v>
          </cell>
        </row>
        <row r="3046">
          <cell r="C3046" t="str">
            <v>ЧП БАТИН С.А.</v>
          </cell>
        </row>
        <row r="3047">
          <cell r="C3047" t="str">
            <v>ЧП БЕРЕЗИН</v>
          </cell>
        </row>
        <row r="3048">
          <cell r="C3048" t="str">
            <v>ЧП БЕРЕЗИН</v>
          </cell>
        </row>
        <row r="3049">
          <cell r="C3049" t="str">
            <v>ЧП БОРОХОВ В.Е.</v>
          </cell>
        </row>
        <row r="3050">
          <cell r="C3050" t="str">
            <v>ЧП БУЗОРИН С.В.</v>
          </cell>
        </row>
        <row r="3051">
          <cell r="C3051" t="str">
            <v>ЧП БУЗОРИН С.В.</v>
          </cell>
        </row>
        <row r="3052">
          <cell r="C3052" t="str">
            <v>ЧП ВЕРОНИКА</v>
          </cell>
        </row>
        <row r="3053">
          <cell r="C3053" t="str">
            <v>ЧП ВИНОГРАДОВ В.В.</v>
          </cell>
        </row>
        <row r="3054">
          <cell r="C3054" t="str">
            <v>ЧП ВОРОНОВ АЛЕКСАНДР ВИКТОРОВИЧ</v>
          </cell>
        </row>
        <row r="3055">
          <cell r="C3055" t="str">
            <v>ЧП ГАБОВ ВЯЧЕСЛАВ ДИОДОРОВИЧ</v>
          </cell>
        </row>
        <row r="3056">
          <cell r="C3056" t="str">
            <v>ЧП ГАРЕЕВА Е.В.</v>
          </cell>
        </row>
        <row r="3057">
          <cell r="C3057" t="str">
            <v>ЧП ГАЧЕГОВ</v>
          </cell>
        </row>
        <row r="3058">
          <cell r="C3058" t="str">
            <v>ЧП ГИЛЕВ АНАТ НИКОЛ</v>
          </cell>
        </row>
        <row r="3059">
          <cell r="C3059" t="str">
            <v>ЧП ГИЛЕВ АНАТ НИКОЛ</v>
          </cell>
        </row>
        <row r="3060">
          <cell r="C3060" t="str">
            <v>ЧП ГИЛЕВ АНАТОЛИЙ НИКОЛАЕВИЧ</v>
          </cell>
        </row>
        <row r="3061">
          <cell r="C3061" t="str">
            <v>ЧП ГИРШ А.В.</v>
          </cell>
        </row>
        <row r="3062">
          <cell r="C3062" t="str">
            <v>ЧП ГИРШ В.А.</v>
          </cell>
        </row>
        <row r="3063">
          <cell r="C3063" t="str">
            <v>ЧП ГИРШ ВАЛЕНТИНА АЛЕКСАНДРОВНА</v>
          </cell>
        </row>
        <row r="3064">
          <cell r="C3064" t="str">
            <v>ЧП ГИРШ ВАЛЕНТИНА АЛЕКСАНДРОВНА</v>
          </cell>
        </row>
        <row r="3065">
          <cell r="C3065" t="str">
            <v>ЧП ГОВОРОВА О.И.</v>
          </cell>
        </row>
        <row r="3066">
          <cell r="C3066" t="str">
            <v>ЧП ГОЛУБОВА ЭЛЬМИРА АКСАНОВНА</v>
          </cell>
        </row>
        <row r="3067">
          <cell r="C3067" t="str">
            <v>ЧП ГОЛЫНИНА А.И.</v>
          </cell>
        </row>
        <row r="3068">
          <cell r="C3068" t="str">
            <v>ЧП ГОЛЫНИНА А.И.</v>
          </cell>
        </row>
        <row r="3069">
          <cell r="C3069" t="str">
            <v>ЧП ГРАФОВ</v>
          </cell>
        </row>
        <row r="3070">
          <cell r="C3070" t="str">
            <v>ЧП ГУСЕВ ВАЛ ВАС</v>
          </cell>
        </row>
        <row r="3071">
          <cell r="C3071" t="str">
            <v>ЧП ДАВЛЕТШИН МАРАТ МУБ.</v>
          </cell>
        </row>
        <row r="3072">
          <cell r="C3072" t="str">
            <v>ЧП ДАРИЙ</v>
          </cell>
        </row>
        <row r="3073">
          <cell r="C3073" t="str">
            <v>ЧП ДАРИЙ</v>
          </cell>
        </row>
        <row r="3074">
          <cell r="C3074" t="str">
            <v>ЧП ДЬЯЧКОВА Е.П.</v>
          </cell>
        </row>
        <row r="3075">
          <cell r="C3075" t="str">
            <v>ЧП ДЬЯЧКОВА Е.П.</v>
          </cell>
        </row>
        <row r="3076">
          <cell r="C3076" t="str">
            <v>ЧП ЕЖОВ СЕРГЕЙ ВАДИМОВИЧ</v>
          </cell>
        </row>
        <row r="3077">
          <cell r="C3077" t="str">
            <v>ЧП ЗАМОГИЛЬНЫЙ</v>
          </cell>
        </row>
        <row r="3078">
          <cell r="C3078" t="str">
            <v>ЧП ИВАНОВ В Г</v>
          </cell>
        </row>
        <row r="3079">
          <cell r="C3079" t="str">
            <v>ЧП ИВАНОВ В.Г.</v>
          </cell>
        </row>
        <row r="3080">
          <cell r="C3080" t="str">
            <v>ЧП ИЛЬЯЛОВ О.Р.</v>
          </cell>
        </row>
        <row r="3081">
          <cell r="C3081" t="str">
            <v>ЧП ИСТОМИНА М.Б.</v>
          </cell>
        </row>
        <row r="3082">
          <cell r="C3082" t="str">
            <v>ЧП КАННУНИКОВ Ю.А.</v>
          </cell>
        </row>
        <row r="3083">
          <cell r="C3083" t="str">
            <v>ЧП КОЖИМОВА Е.В.</v>
          </cell>
        </row>
        <row r="3084">
          <cell r="C3084" t="str">
            <v>ЧП КОЖИМОВА Е.В.</v>
          </cell>
        </row>
        <row r="3085">
          <cell r="C3085" t="str">
            <v>ЧП КОЖИМОВА Е.В.</v>
          </cell>
        </row>
        <row r="3086">
          <cell r="C3086" t="str">
            <v>ЧП КОСТЫЛЕВ М.С.</v>
          </cell>
        </row>
        <row r="3087">
          <cell r="C3087" t="str">
            <v>ЧП КРЕКЕР И.А.</v>
          </cell>
        </row>
        <row r="3088">
          <cell r="C3088" t="str">
            <v>ЧП КРУШНЕВА А.К.</v>
          </cell>
        </row>
        <row r="3089">
          <cell r="C3089" t="str">
            <v>ЧП КРУШНЕВА А.К.</v>
          </cell>
        </row>
        <row r="3090">
          <cell r="C3090" t="str">
            <v>ЧП КРЮКОВА Т.Ю.</v>
          </cell>
        </row>
        <row r="3091">
          <cell r="C3091" t="str">
            <v>ЧП КУЗИКОВ А.С.</v>
          </cell>
        </row>
        <row r="3092">
          <cell r="C3092" t="str">
            <v>ЧП КУЗНЕЦОВ П А</v>
          </cell>
        </row>
        <row r="3093">
          <cell r="C3093" t="str">
            <v>ЧП КУЗНЕЦОВ П.А.</v>
          </cell>
        </row>
        <row r="3094">
          <cell r="C3094" t="str">
            <v>ЧП КУЛИГИН В.П.</v>
          </cell>
        </row>
        <row r="3095">
          <cell r="C3095" t="str">
            <v>ЧП КУЛИГИН В.П.</v>
          </cell>
        </row>
        <row r="3096">
          <cell r="C3096" t="str">
            <v>ЧП КУЛИГИН В.П.</v>
          </cell>
        </row>
        <row r="3097">
          <cell r="C3097" t="str">
            <v>ЧП КУПРИНА</v>
          </cell>
        </row>
        <row r="3098">
          <cell r="C3098" t="str">
            <v>ЧП ЛЕНСКИЙ С.А.</v>
          </cell>
        </row>
        <row r="3099">
          <cell r="C3099" t="str">
            <v>ЧП ЛИПИН В.Н.</v>
          </cell>
        </row>
        <row r="3100">
          <cell r="C3100" t="str">
            <v>ЧП ЛОГИНОВА</v>
          </cell>
        </row>
        <row r="3101">
          <cell r="C3101" t="str">
            <v>ЧП ЛУЗИН АЛЕКСАЕДР ИВАНОВИЧ</v>
          </cell>
        </row>
        <row r="3102">
          <cell r="C3102" t="str">
            <v>ЧП ЛУЗИН АЛЕКСАНДР ИВАНОВИЧ</v>
          </cell>
        </row>
        <row r="3103">
          <cell r="C3103" t="str">
            <v>ЧП ЛУНИН С.Ф.</v>
          </cell>
        </row>
        <row r="3104">
          <cell r="C3104" t="str">
            <v>ЧП МАКАРОВА З.В.</v>
          </cell>
        </row>
        <row r="3105">
          <cell r="C3105" t="str">
            <v>ЧП МЕЛЬНИКОВ Ю.В.</v>
          </cell>
        </row>
        <row r="3106">
          <cell r="C3106" t="str">
            <v>ЧП МИХАЛЕВ Д Ю</v>
          </cell>
        </row>
        <row r="3107">
          <cell r="C3107" t="str">
            <v>ЧП НЕГРА СЕРГ.АЛ-ДР.</v>
          </cell>
        </row>
        <row r="3108">
          <cell r="C3108" t="str">
            <v>ЧП НИКИТЕНКО АНДРЕЙ НИКОЛАЕВИЧ</v>
          </cell>
        </row>
        <row r="3109">
          <cell r="C3109" t="str">
            <v>ЧП НОВИКОВ ЭДУАРД ВИКТОРОВИЧ</v>
          </cell>
        </row>
        <row r="3110">
          <cell r="C3110" t="str">
            <v>ЧП ОЗОЛИН В.В.</v>
          </cell>
        </row>
        <row r="3111">
          <cell r="C3111" t="str">
            <v>ЧП ОЛЬКОВ М.П.</v>
          </cell>
        </row>
        <row r="3112">
          <cell r="C3112" t="str">
            <v>ЧП ОСЕТРОВ В.П.</v>
          </cell>
        </row>
        <row r="3113">
          <cell r="C3113" t="str">
            <v>ЧП ПАШКОВ</v>
          </cell>
        </row>
        <row r="3114">
          <cell r="C3114" t="str">
            <v>ЧП ПАШКОВ</v>
          </cell>
        </row>
        <row r="3115">
          <cell r="C3115" t="str">
            <v>ЧП ПЕЧЕНКИН В.Ф.</v>
          </cell>
        </row>
        <row r="3116">
          <cell r="C3116" t="str">
            <v>ЧП ПОДЕНЩИКОВ В.Ю.</v>
          </cell>
        </row>
        <row r="3117">
          <cell r="C3117" t="str">
            <v>ЧП ПОНОМАРЕВА Л.И.</v>
          </cell>
        </row>
        <row r="3118">
          <cell r="C3118" t="str">
            <v>ЧП РАДОСТЕВА В.А.</v>
          </cell>
        </row>
        <row r="3119">
          <cell r="C3119" t="str">
            <v>ЧП РЕВНИВЫХ С.В.</v>
          </cell>
        </row>
        <row r="3120">
          <cell r="C3120" t="str">
            <v>ЧП РЕВНИВЫХ С.В.</v>
          </cell>
        </row>
        <row r="3121">
          <cell r="C3121" t="str">
            <v>ЧП РОМАНОВ И.Г.</v>
          </cell>
        </row>
        <row r="3122">
          <cell r="C3122" t="str">
            <v>ЧП РУСИНОВА</v>
          </cell>
        </row>
        <row r="3123">
          <cell r="C3123" t="str">
            <v>ЧП САМОХЛЕБОВ О.В.</v>
          </cell>
        </row>
        <row r="3124">
          <cell r="C3124" t="str">
            <v>ЧП СЕМЕНОВА Д.Н.</v>
          </cell>
        </row>
        <row r="3125">
          <cell r="C3125" t="str">
            <v>ЧП СЕМЕНОВА Д.Н.</v>
          </cell>
        </row>
        <row r="3126">
          <cell r="C3126" t="str">
            <v>ЧП СЕРЕГИНА АННА НИКОЛАЕВНА</v>
          </cell>
        </row>
        <row r="3127">
          <cell r="C3127" t="str">
            <v>ЧП СИГНАЛ</v>
          </cell>
        </row>
        <row r="3128">
          <cell r="C3128" t="str">
            <v>ЧП СИДНЕВА ИРИНА ВАСИЛЬЕВНА</v>
          </cell>
        </row>
        <row r="3129">
          <cell r="C3129" t="str">
            <v>ЧП СИДОРОВ УТТ</v>
          </cell>
        </row>
        <row r="3130">
          <cell r="C3130" t="str">
            <v>ЧП СИНЕРГИЯ ЛИДЕР</v>
          </cell>
        </row>
        <row r="3131">
          <cell r="C3131" t="str">
            <v>ЧП СТАРОДУМОВ Г.К.</v>
          </cell>
        </row>
        <row r="3132">
          <cell r="C3132" t="str">
            <v>ЧП ТАГИЛОВ ВЯЧ.ВИКТ.</v>
          </cell>
        </row>
        <row r="3133">
          <cell r="C3133" t="str">
            <v>ЧП ТКАЧИК В.О.</v>
          </cell>
        </row>
        <row r="3134">
          <cell r="C3134" t="str">
            <v>ЧП ТКАЧИК В.О.</v>
          </cell>
        </row>
        <row r="3135">
          <cell r="C3135" t="str">
            <v>ЧП ТОЛСТОБРОВА ЕЛ.ВЛАД.</v>
          </cell>
        </row>
        <row r="3136">
          <cell r="C3136" t="str">
            <v>ЧП ТРОШЕВ В.Г.</v>
          </cell>
        </row>
        <row r="3137">
          <cell r="C3137" t="str">
            <v>ЧП УГРИНОВА</v>
          </cell>
        </row>
        <row r="3138">
          <cell r="C3138" t="str">
            <v>ЧП УГРИНОВА</v>
          </cell>
        </row>
        <row r="3139">
          <cell r="C3139" t="str">
            <v>ЧП ФИЛАТОВ В.В.</v>
          </cell>
        </row>
        <row r="3140">
          <cell r="C3140" t="str">
            <v>ЧП ФИЛАТОВ В.В.</v>
          </cell>
        </row>
        <row r="3141">
          <cell r="C3141" t="str">
            <v>ЧП ЧЕРЕМНЫХ</v>
          </cell>
        </row>
        <row r="3142">
          <cell r="C3142" t="str">
            <v>ЧП ЧИРКОВА В.П.</v>
          </cell>
        </row>
        <row r="3143">
          <cell r="C3143" t="str">
            <v>ЧП ЧИРКОВА В.П.</v>
          </cell>
        </row>
        <row r="3144">
          <cell r="C3144" t="str">
            <v>ЧП ЧИЧКАНОВА Л.И.</v>
          </cell>
        </row>
        <row r="3145">
          <cell r="C3145" t="str">
            <v>ЧП ЧУДИНОВ АНДР.ГЕН.</v>
          </cell>
        </row>
        <row r="3146">
          <cell r="C3146" t="str">
            <v>ЧП ШАРДАКОВ А.В.</v>
          </cell>
        </row>
        <row r="3147">
          <cell r="C3147" t="str">
            <v>ЧП ШАРДАКОВ А.В.</v>
          </cell>
        </row>
        <row r="3148">
          <cell r="C3148" t="str">
            <v>ЧП ШВАРЕВ В.В. СВ.ВГ-9227</v>
          </cell>
        </row>
        <row r="3149">
          <cell r="C3149" t="str">
            <v>ЧП ШВЕЦОВ АН.АЛ.</v>
          </cell>
        </row>
        <row r="3150">
          <cell r="C3150" t="str">
            <v>ЧП ШЕСТАКОВА Г.Е.</v>
          </cell>
        </row>
        <row r="3151">
          <cell r="C3151" t="str">
            <v>ЧП ШИХОВЦОВ В.В.</v>
          </cell>
        </row>
        <row r="3152">
          <cell r="C3152" t="str">
            <v>ЧП ШМОНИН С.Н.</v>
          </cell>
        </row>
        <row r="3153">
          <cell r="C3153" t="str">
            <v>ЧП ЯКУТОВ В.Н.</v>
          </cell>
        </row>
        <row r="3154">
          <cell r="C3154" t="str">
            <v>ЧПМ КРУИЗ</v>
          </cell>
        </row>
        <row r="3155">
          <cell r="C3155" t="str">
            <v>ЧУДИНОВ А.А.</v>
          </cell>
        </row>
        <row r="3156">
          <cell r="C3156" t="str">
            <v>ЧУСОВСКОЙ КОМИТЕТ ПО ОХРАНЕ ПРИРОДЫ</v>
          </cell>
        </row>
        <row r="3157">
          <cell r="C3157" t="str">
            <v>ЧУСОВСКОЙ РМЗ</v>
          </cell>
        </row>
        <row r="3158">
          <cell r="C3158" t="str">
            <v>ЧУФАРОВСКИЙ АРМАТ.З-Д</v>
          </cell>
        </row>
        <row r="3159">
          <cell r="C3159" t="str">
            <v>Шаврин В.Б.</v>
          </cell>
        </row>
        <row r="3160">
          <cell r="C3160" t="str">
            <v>ШАДРИНСКИЙ АВТОАГРЕГАТНЫЙ ЗАВОД</v>
          </cell>
        </row>
        <row r="3161">
          <cell r="C3161" t="str">
            <v>ШАМБЕР Е.И.</v>
          </cell>
        </row>
        <row r="3162">
          <cell r="C3162" t="str">
            <v>ШАНГИН Л.Р.</v>
          </cell>
        </row>
        <row r="3163">
          <cell r="C3163" t="str">
            <v>ШАНЬГИН Ю.И.</v>
          </cell>
        </row>
        <row r="3164">
          <cell r="C3164" t="str">
            <v>ШЕВЫРИН А.Л.</v>
          </cell>
        </row>
        <row r="3165">
          <cell r="C3165" t="str">
            <v>ШИЛКОВ Ю.А.</v>
          </cell>
        </row>
        <row r="3166">
          <cell r="C3166" t="str">
            <v>ШИЛОНОСОВА И.П.</v>
          </cell>
        </row>
        <row r="3167">
          <cell r="C3167" t="str">
            <v>ШИТОВА И.Г.</v>
          </cell>
        </row>
        <row r="3168">
          <cell r="C3168" t="str">
            <v>ШКОЛА ФИНАНСИСТА ПРИ ПЕРМСК.Ф/Э КОЛ</v>
          </cell>
        </row>
        <row r="3169">
          <cell r="C3169" t="str">
            <v>ШУБИН А.Н.</v>
          </cell>
        </row>
        <row r="3170">
          <cell r="C3170" t="str">
            <v>ШУМ В.Д.</v>
          </cell>
        </row>
        <row r="3171">
          <cell r="C3171" t="str">
            <v>ШУМ В.Д.</v>
          </cell>
        </row>
        <row r="3172">
          <cell r="C3172" t="str">
            <v>Щербак Влад.Федор.</v>
          </cell>
        </row>
        <row r="3173">
          <cell r="C3173" t="str">
            <v>ЭКСПЛ.ТРАНСПОРТА</v>
          </cell>
        </row>
        <row r="3174">
          <cell r="C3174" t="str">
            <v>ЭКСПЛ.ТРАНСПОРТА          за баланс</v>
          </cell>
        </row>
        <row r="3175">
          <cell r="C3175" t="str">
            <v>ЭКСПОВЕСТРАНС</v>
          </cell>
        </row>
        <row r="3176">
          <cell r="C3176" t="str">
            <v>ЭЛ/ЭН НАСЕЛЕНИЯ П.ДИВЬЯ</v>
          </cell>
        </row>
        <row r="3177">
          <cell r="C3177" t="str">
            <v>ЭЛ/ЭНЕРГИЯ НАСЕЛЕНИЯ ПОЛАЗНЫ</v>
          </cell>
        </row>
        <row r="3178">
          <cell r="C3178" t="str">
            <v>ЭПП ИНСТИТУТ ПОЛИОМЕЛИТА им ЧУМАКОВА</v>
          </cell>
        </row>
        <row r="3179">
          <cell r="C3179" t="str">
            <v>ЮГО-КАМСКИЙ АРМАТУРНЫЙ ЗАВОД</v>
          </cell>
        </row>
        <row r="3180">
          <cell r="C3180" t="str">
            <v>ЮРИДИЧ.ПРЕДПРИЯТИЕ ВЕРДИКТ</v>
          </cell>
        </row>
        <row r="3181">
          <cell r="C3181" t="str">
            <v>ЮРИНФОРМЦЕНТР</v>
          </cell>
        </row>
        <row r="3182">
          <cell r="C3182" t="str">
            <v>Я АФ ТРЕСТ ВНГЭМ</v>
          </cell>
        </row>
        <row r="3183">
          <cell r="C3183" t="str">
            <v>Я ГОСПЛЕМЕННОЙ З-Д ПЕРМСКИЙ</v>
          </cell>
        </row>
        <row r="3184">
          <cell r="C3184" t="str">
            <v>Я ИЧП ГРАНАТ</v>
          </cell>
        </row>
        <row r="3185">
          <cell r="C3185" t="str">
            <v>Я ИЧП ГРАНИТ</v>
          </cell>
        </row>
        <row r="3186">
          <cell r="C3186" t="str">
            <v>Я КООПЕРАТИВ ИСКРА</v>
          </cell>
        </row>
        <row r="3187">
          <cell r="C3187" t="str">
            <v>Я КООПЕРАТИВ КОМПЛЕКС</v>
          </cell>
        </row>
        <row r="3188">
          <cell r="C3188" t="str">
            <v>Я МП КОНТИНЕНТАЛЬ</v>
          </cell>
        </row>
        <row r="3189">
          <cell r="C3189" t="str">
            <v>Я МП ТАЙМ</v>
          </cell>
        </row>
        <row r="3190">
          <cell r="C3190" t="str">
            <v>Я МП ТЕМП</v>
          </cell>
        </row>
        <row r="3191">
          <cell r="C3191" t="str">
            <v>Я МУ УРАЛЭНЕРГОСАНТЕХМОНТАЖ</v>
          </cell>
        </row>
        <row r="3192">
          <cell r="C3192" t="str">
            <v>Я ОСИНСКАЯ БАЗА</v>
          </cell>
        </row>
        <row r="3193">
          <cell r="C3193" t="str">
            <v>Я ПЕРМСКИЙ Ф-Л УЭСТМ</v>
          </cell>
        </row>
        <row r="3194">
          <cell r="C3194" t="str">
            <v>Я ПМК-1 тр.15</v>
          </cell>
        </row>
        <row r="3195">
          <cell r="C3195" t="str">
            <v>Я ПМК-6 тр.15</v>
          </cell>
        </row>
        <row r="3196">
          <cell r="C3196" t="str">
            <v>Я ПОЛАЗНЕНСКАЯ БОЛЬНИЦА</v>
          </cell>
        </row>
        <row r="3197">
          <cell r="C3197" t="str">
            <v>Я ПОЛАЗНЕНСКОЕ УГР</v>
          </cell>
        </row>
        <row r="3198">
          <cell r="C3198" t="str">
            <v>Я ПОЛАЗНЕНСКОЕ УТТ</v>
          </cell>
        </row>
        <row r="3199">
          <cell r="C3199" t="str">
            <v>Я ППСК-4</v>
          </cell>
        </row>
        <row r="3200">
          <cell r="C3200" t="str">
            <v>Я ПРЕДПРИЯТИЕ ИМПУЛЬС</v>
          </cell>
        </row>
        <row r="3201">
          <cell r="C3201" t="str">
            <v>Я ПРЕДСТАВИТЕЛЬСТВО 7 АФ ВНГЭМ</v>
          </cell>
        </row>
        <row r="3202">
          <cell r="C3202" t="str">
            <v>Я ПСМУ тр.ВГСМ</v>
          </cell>
        </row>
        <row r="3203">
          <cell r="C3203" t="str">
            <v>Я СЕЛЬСТРОЙ-1</v>
          </cell>
        </row>
        <row r="3204">
          <cell r="C3204" t="str">
            <v>Я СМП ТЕМП</v>
          </cell>
        </row>
        <row r="3205">
          <cell r="C3205" t="str">
            <v>Я СМУ-1</v>
          </cell>
        </row>
        <row r="3206">
          <cell r="C3206" t="str">
            <v>Я СМУ-1 тр.ВНГСТМ</v>
          </cell>
        </row>
        <row r="3207">
          <cell r="C3207" t="str">
            <v>Я СМУ-1 тр.СПЕЦСТРОЙ</v>
          </cell>
        </row>
        <row r="3208">
          <cell r="C3208" t="str">
            <v>Я СМУ-6 тр.БПСО</v>
          </cell>
        </row>
        <row r="3209">
          <cell r="C3209" t="str">
            <v>Я ТОО ОРИОН</v>
          </cell>
        </row>
        <row r="3210">
          <cell r="C3210" t="str">
            <v>Я ТП РОССИЯ</v>
          </cell>
        </row>
        <row r="3211">
          <cell r="C3211" t="str">
            <v>Я ТЫШЛИНСКИЙ З-Д НТО</v>
          </cell>
        </row>
        <row r="3212">
          <cell r="C3212" t="str">
            <v>Я УПР ПНГ</v>
          </cell>
        </row>
        <row r="3213">
          <cell r="C3213" t="str">
            <v>Я УС ПЕРМСКАЯ ГРЭС</v>
          </cell>
        </row>
        <row r="3214">
          <cell r="C3214" t="str">
            <v>Я ХРПУ ПЕРМДОРСТРОЙ</v>
          </cell>
        </row>
        <row r="3215">
          <cell r="C3215" t="str">
            <v>Я ЧЕРНУШИНСКАЯ БАЗА УПТОиКО</v>
          </cell>
        </row>
        <row r="3216">
          <cell r="C3216" t="str">
            <v>ЯЙВИНСКАЯ ПТИЦЕФАБРИКА</v>
          </cell>
        </row>
        <row r="3217">
          <cell r="C3217" t="str">
            <v>ЯЙВИНСКАЯ ПТИЦЕФАБРИКА</v>
          </cell>
        </row>
        <row r="3218">
          <cell r="C3218" t="str">
            <v>ЯЙВИНСКИЙ ЛЕСХОЗ</v>
          </cell>
        </row>
        <row r="3219">
          <cell r="C3219" t="str">
            <v>ЯКОВЕНКО О.И.</v>
          </cell>
        </row>
        <row r="3220">
          <cell r="C3220" t="str">
            <v>ЯРОСЛАВСКИЙ МЕХАНИЧЕСКИЙ ЗАВОД</v>
          </cell>
        </row>
        <row r="3221">
          <cell r="C3221" t="str">
            <v>ЯРОСЛАВЦЕВ Л.Н.</v>
          </cell>
        </row>
        <row r="3222">
          <cell r="C3222" t="str">
            <v>ЯСЛИ-САД 125 г.БЕРЕЗНИКИ</v>
          </cell>
        </row>
        <row r="3223">
          <cell r="C3223" t="str">
            <v>ЯСЛИ-САД 32 БЕРЕЗНИКОВСКОЙ ТЭЦ-2</v>
          </cell>
        </row>
        <row r="3224">
          <cell r="C3224" t="str">
            <v>ЯСЛИ-САД 60 Г.БЕРЕЗНИКИ</v>
          </cell>
        </row>
        <row r="3225">
          <cell r="C3225" t="str">
            <v>ЯСЛИ-САД 61 СВЕРДЛ.Ж.Д.</v>
          </cell>
        </row>
        <row r="3226">
          <cell r="C3226" t="str">
            <v>ЯСЛИ-САД N81 БЕРЕЗН.ГУОМ</v>
          </cell>
        </row>
        <row r="3227">
          <cell r="C3227" t="str">
            <v>ЯСЛИ-САД №340  Г.ПЕРМЬ</v>
          </cell>
        </row>
        <row r="3228">
          <cell r="C3228" t="str">
            <v>ЯСНОГОРСКИЙ МАШИНОСТРОИТЕЛЬНЫЙ З-Д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RR_офис"/>
      <sheetName val="Финанс. калькулятор"/>
      <sheetName val="Начало"/>
      <sheetName val="Program1"/>
      <sheetName val="Program2"/>
      <sheetName val="Реконстр. отчет"/>
      <sheetName val="Прямая капит."/>
      <sheetName val="данные"/>
      <sheetName val="Смета на весь"/>
      <sheetName val="согласование"/>
      <sheetName val="Дисконт. избыт."/>
      <sheetName val="Сравн. продаж_склад"/>
      <sheetName val="Сравн. продаж_отд.зд."/>
      <sheetName val="Сравн. продаж"/>
      <sheetName val="Отн. сравн. анализ"/>
      <sheetName val="Регрессия"/>
      <sheetName val="Наилуч. использ."/>
      <sheetName val="Анализ риска"/>
      <sheetName val="инфрастр"/>
      <sheetName val="зем_налог"/>
      <sheetName val="Стоим. земли"/>
      <sheetName val="Стоим. стр-ва"/>
      <sheetName val="Оценка износа"/>
      <sheetName val="Приложение 1"/>
      <sheetName val="свед"/>
      <sheetName val="график строительства"/>
      <sheetName val="общие данные"/>
      <sheetName val="Ставка Д"/>
      <sheetName val="затр_подх"/>
      <sheetName val="Константы"/>
      <sheetName val="3.ЗАТРАТЫ"/>
      <sheetName val="восст"/>
      <sheetName val="СП_КОМПЛЕКС"/>
      <sheetName val="4.озеленение"/>
      <sheetName val="1.ИСХ"/>
      <sheetName val="документы Кириши"/>
      <sheetName val="Содержание"/>
      <sheetName val="НФИк"/>
      <sheetName val="Метод остатка"/>
      <sheetName val="Инд"/>
      <sheetName val="1"/>
      <sheetName val="Master Inputs Start Here"/>
      <sheetName val="HBS initial"/>
      <sheetName val="Balance Sheet"/>
      <sheetName val="Income Statement"/>
      <sheetName val="Лист1"/>
      <sheetName val="Glossary"/>
      <sheetName val="Средняя стоимость"/>
      <sheetName val="Проект"/>
      <sheetName val="К_Фрунзенский"/>
      <sheetName val="Resume"/>
      <sheetName val="Спис_Объекты_недв"/>
      <sheetName val="so "/>
      <sheetName val="Финанс__калькулятор"/>
      <sheetName val="Реконстр__отчет"/>
      <sheetName val="Прямая_капит_"/>
      <sheetName val="Смета_на_весь"/>
      <sheetName val="Дисконт__избыт_"/>
      <sheetName val="Сравн__продаж_склад"/>
      <sheetName val="Сравн__продаж_отд_зд_"/>
      <sheetName val="Сравн__продаж"/>
      <sheetName val="Отн__сравн__анализ"/>
      <sheetName val="Наилуч__использ_"/>
      <sheetName val="Анализ_риска"/>
      <sheetName val="Стоим__земли"/>
      <sheetName val="Стоим__стр-ва"/>
      <sheetName val="Оценка_износа"/>
      <sheetName val="Приложение_1"/>
      <sheetName val="график_строительства"/>
      <sheetName val="общие_данные"/>
      <sheetName val="Ставка_Д"/>
      <sheetName val="3_ЗАТРАТЫ"/>
      <sheetName val="4_озеленение"/>
      <sheetName val="1_ИСХ"/>
      <sheetName val="документы_Кириши"/>
      <sheetName val="Метод_остатка"/>
      <sheetName val="Master_Inputs_Start_Here"/>
      <sheetName val="HBS_initial"/>
      <sheetName val="Balance_Sheet"/>
      <sheetName val="Income_Statement"/>
      <sheetName val="Средняя_стоимость"/>
      <sheetName val="6_Продажа_квартир"/>
      <sheetName val="so_"/>
      <sheetName val="6.Продажа квартир"/>
      <sheetName val="Исходные"/>
      <sheetName val="Земля"/>
      <sheetName val="Лист2"/>
      <sheetName val="Инфл."/>
    </sheetNames>
    <sheetDataSet>
      <sheetData sheetId="0">
        <row r="7">
          <cell r="J7">
            <v>28.05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иточки"/>
      <sheetName val="Основные средства"/>
      <sheetName val="Ч.активы+Гудвил"/>
      <sheetName val="WACC 2"/>
      <sheetName val="WACC 1"/>
      <sheetName val="Прирост оборотного  капитала"/>
      <sheetName val="Собств. оборотный капитал"/>
      <sheetName val="Капвложения"/>
      <sheetName val="ЧОД"/>
      <sheetName val="36,6"/>
      <sheetName val="Дисконт"/>
      <sheetName val="Сравнительный"/>
      <sheetName val="ставка дисконта"/>
    </sheetNames>
    <sheetDataSet>
      <sheetData sheetId="0" refreshError="1">
        <row r="5">
          <cell r="B5">
            <v>0.19309999999999999</v>
          </cell>
        </row>
      </sheetData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главление"/>
      <sheetName val="Замечания"/>
      <sheetName val="2.1.11."/>
      <sheetName val="2.1.111."/>
      <sheetName val="2.1.112."/>
      <sheetName val="2.1.113."/>
      <sheetName val="2.1.114."/>
      <sheetName val="2.1.12."/>
      <sheetName val="2.1.121."/>
      <sheetName val="2.1.122."/>
      <sheetName val="2.1.124"/>
      <sheetName val="2.1.58."/>
      <sheetName val="1.1.11."/>
      <sheetName val="1.1.111."/>
      <sheetName val="1.1.112."/>
      <sheetName val="1.1.113."/>
      <sheetName val="1.1.114."/>
      <sheetName val="1.1.12."/>
      <sheetName val="1.1.121."/>
      <sheetName val="1.1.122"/>
      <sheetName val="1.1.124."/>
      <sheetName val="1.1.13."/>
      <sheetName val="1.1.131."/>
      <sheetName val="1.1.134."/>
      <sheetName val="3.1.11."/>
      <sheetName val="3.1.111."/>
      <sheetName val="3.1.112."/>
      <sheetName val="3.1.113."/>
      <sheetName val="3.1.114."/>
      <sheetName val="3.1.12."/>
      <sheetName val="3.1.121."/>
      <sheetName val="3.1.122."/>
      <sheetName val="3.1.124."/>
      <sheetName val="3.1.13."/>
      <sheetName val="3.1.131."/>
      <sheetName val="3.1.134."/>
      <sheetName val="4.1.11."/>
      <sheetName val="4.1.111."/>
      <sheetName val="4.1.112."/>
      <sheetName val="4.1.113."/>
      <sheetName val="4.1.114."/>
      <sheetName val="4.1.12."/>
      <sheetName val="4.1.121."/>
      <sheetName val="4.1.122."/>
      <sheetName val="4.1.124."/>
      <sheetName val="4.1.13."/>
      <sheetName val="4.1.131."/>
      <sheetName val="4.1.134."/>
      <sheetName val="2.1.47."/>
      <sheetName val="2.1.471."/>
      <sheetName val="2.1.472."/>
      <sheetName val="2.1.473."/>
      <sheetName val="2.1.461."/>
      <sheetName val="2.1.4611."/>
      <sheetName val="2.1.4612"/>
      <sheetName val="2.1.4613"/>
      <sheetName val="2.1.4614"/>
      <sheetName val="2.1.463."/>
      <sheetName val="2.1.4631"/>
      <sheetName val="2.1.462."/>
      <sheetName val="2.1.4621."/>
      <sheetName val="2.1.464."/>
      <sheetName val="2.1.465."/>
      <sheetName val="2.1.4651. "/>
      <sheetName val="2.1.466."/>
      <sheetName val="4.1.48."/>
      <sheetName val="4.1.50."/>
      <sheetName val="4.1.46."/>
      <sheetName val="4.1.47."/>
      <sheetName val="4.1.49."/>
      <sheetName val="4.1.57."/>
      <sheetName val="1.1.14."/>
      <sheetName val="1.1.141."/>
      <sheetName val="1.1.1411"/>
      <sheetName val="1.1.142."/>
      <sheetName val="1.1.1421."/>
      <sheetName val="1.1.1422."/>
      <sheetName val="1.1.1423."/>
      <sheetName val="1.1.143."/>
      <sheetName val="1.1.1431."/>
      <sheetName val="1.1.144."/>
      <sheetName val="1.1.145."/>
      <sheetName val="1.1.15."/>
      <sheetName val="1.1.151."/>
      <sheetName val="1.1.16."/>
      <sheetName val="1.1.161."/>
      <sheetName val="1.1.164."/>
      <sheetName val="3.1.14."/>
      <sheetName val="3.1.141."/>
      <sheetName val="3.1.1411."/>
      <sheetName val="3.1.142."/>
      <sheetName val="3.1.1421."/>
      <sheetName val="3.1.1422."/>
      <sheetName val="3.1.1423."/>
      <sheetName val="3.1.143."/>
      <sheetName val="3.1.1431."/>
      <sheetName val="3.1.144."/>
      <sheetName val="3.1.145."/>
      <sheetName val="3.1.15."/>
      <sheetName val="3.1.151."/>
      <sheetName val="3.1.16."/>
      <sheetName val="3.1.161."/>
      <sheetName val="4.1.14."/>
      <sheetName val="4.1.141."/>
      <sheetName val="4.1.1411."/>
      <sheetName val="4.1.142."/>
      <sheetName val="4.1.1421."/>
      <sheetName val="4.1.1422."/>
      <sheetName val="4.1.1423."/>
      <sheetName val="4.1.143."/>
      <sheetName val="4.1.1431."/>
      <sheetName val="4.1.144."/>
      <sheetName val="4.1.145."/>
      <sheetName val="4.1.15."/>
      <sheetName val="4.1.151."/>
      <sheetName val="4.1.16."/>
      <sheetName val="4.1.161."/>
      <sheetName val="2.2.21."/>
      <sheetName val="2.2.22."/>
      <sheetName val="2.2.23."/>
      <sheetName val="1.2.21."/>
      <sheetName val="1.2.22."/>
      <sheetName val="1.2.23."/>
      <sheetName val="1.2.24."/>
      <sheetName val="1.2.25."/>
      <sheetName val="3.2.21."/>
      <sheetName val="3.2.22."/>
      <sheetName val="3.2.23."/>
      <sheetName val="3.2.24."/>
      <sheetName val="3.2.25."/>
      <sheetName val="4.2.21."/>
      <sheetName val="4.2.22."/>
      <sheetName val="4.2.23."/>
      <sheetName val="4.2.24."/>
      <sheetName val="4.2.25."/>
      <sheetName val="2.2.43."/>
      <sheetName val="2.2.431."/>
      <sheetName val="4.2.56."/>
      <sheetName val="4.2.51."/>
      <sheetName val="1.2.26."/>
      <sheetName val="1.2.261."/>
      <sheetName val="1.2.27."/>
      <sheetName val="1.2.28."/>
      <sheetName val="3.2.58"/>
      <sheetName val="3.2.59"/>
      <sheetName val="3.2.26."/>
      <sheetName val="3.2.261."/>
      <sheetName val="3.2.27."/>
      <sheetName val="3.2.28."/>
      <sheetName val="4.2.26."/>
      <sheetName val="4.2.261."/>
      <sheetName val="4.2.27."/>
      <sheetName val="4.2.28."/>
      <sheetName val="4.2.43."/>
      <sheetName val="4.2.41."/>
      <sheetName val="4.2.42."/>
      <sheetName val="4.2.45."/>
      <sheetName val="4.2.44."/>
      <sheetName val="3.3.31."/>
      <sheetName val="3.2.29."/>
      <sheetName val="3.2.32."/>
      <sheetName val="3.3.33."/>
      <sheetName val="3.3.34."/>
      <sheetName val="3.3.35."/>
      <sheetName val="3.3.36."/>
      <sheetName val="3.3.37."/>
      <sheetName val="4.3.52."/>
      <sheetName val="4.1.53."/>
      <sheetName val="4.1.54."/>
      <sheetName val="4.3.55."/>
      <sheetName val="100"/>
      <sheetName val="200"/>
      <sheetName val="200 (2)"/>
      <sheetName val="300"/>
      <sheetName val="300 (2)"/>
      <sheetName val="400"/>
      <sheetName val="налоги"/>
      <sheetName val="смета_ППУ"/>
      <sheetName val="Лист2"/>
      <sheetName val="Лист3"/>
      <sheetName val="3_3_31_"/>
      <sheetName val="Свод по подразделениям"/>
      <sheetName val="АУП"/>
      <sheetName val="1. ИСУ"/>
      <sheetName val="97 счет"/>
      <sheetName val="2. АСУ ТП"/>
      <sheetName val="3. Локальные ИС и ПП"/>
      <sheetName val="4. Выч.техника"/>
      <sheetName val="5. Связь"/>
      <sheetName val="6. Информ. безопасность"/>
      <sheetName val="7. Информ. обеспечение"/>
      <sheetName val="Служба транспорта и Сопр"/>
      <sheetName val="Проверка"/>
      <sheetName val="свод"/>
      <sheetName val="Цеховые"/>
      <sheetName val="предприятия"/>
      <sheetName val="KEY"/>
      <sheetName val="Формы планов 9.72"/>
      <sheetName val="1.411.1"/>
      <sheetName val="УПС 2007"/>
      <sheetName val="УПС 2006"/>
      <sheetName val="TasAt"/>
      <sheetName val="Пояснение "/>
      <sheetName val="8.ar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>
        <row r="17">
          <cell r="A17">
            <v>1</v>
          </cell>
          <cell r="B17">
            <v>2</v>
          </cell>
          <cell r="C17">
            <v>3</v>
          </cell>
          <cell r="D17">
            <v>4</v>
          </cell>
          <cell r="E17">
            <v>5</v>
          </cell>
        </row>
        <row r="18">
          <cell r="A18">
            <v>10</v>
          </cell>
          <cell r="B18" t="str">
            <v>Долгосрочные кредиты</v>
          </cell>
        </row>
        <row r="19">
          <cell r="A19">
            <v>101</v>
          </cell>
          <cell r="B19" t="str">
            <v>основной долг</v>
          </cell>
        </row>
        <row r="20">
          <cell r="A20">
            <v>1011</v>
          </cell>
          <cell r="C20" t="str">
            <v>Предприятия  группы</v>
          </cell>
        </row>
        <row r="21">
          <cell r="A21" t="str">
            <v>1011.1</v>
          </cell>
          <cell r="C21" t="str">
            <v>ЛУКОЙЛ-Интернешнл</v>
          </cell>
        </row>
        <row r="22">
          <cell r="A22" t="str">
            <v>1011.2</v>
          </cell>
          <cell r="C22" t="str">
            <v>…</v>
          </cell>
        </row>
        <row r="23">
          <cell r="A23" t="str">
            <v>1011.3</v>
          </cell>
        </row>
        <row r="24">
          <cell r="A24">
            <v>1012</v>
          </cell>
          <cell r="C24" t="str">
            <v>Предприятия ЛУКОЙЛ</v>
          </cell>
        </row>
        <row r="25">
          <cell r="A25" t="str">
            <v>1012.1</v>
          </cell>
          <cell r="C25" t="str">
            <v>ЛУКОЙЛ-Петролеум</v>
          </cell>
        </row>
        <row r="26">
          <cell r="A26" t="str">
            <v>1012.2</v>
          </cell>
          <cell r="C26" t="str">
            <v>…</v>
          </cell>
        </row>
        <row r="27">
          <cell r="A27" t="str">
            <v>1012.3</v>
          </cell>
        </row>
        <row r="28">
          <cell r="A28">
            <v>1013</v>
          </cell>
          <cell r="C28" t="str">
            <v>Прочие контрагенты</v>
          </cell>
        </row>
        <row r="29">
          <cell r="A29" t="str">
            <v>1013.1</v>
          </cell>
          <cell r="C29" t="str">
            <v>…</v>
          </cell>
        </row>
        <row r="30">
          <cell r="A30" t="str">
            <v>1013.2</v>
          </cell>
          <cell r="C30" t="str">
            <v>…</v>
          </cell>
        </row>
        <row r="31">
          <cell r="A31">
            <v>102</v>
          </cell>
          <cell r="B31" t="str">
            <v>проценты</v>
          </cell>
        </row>
        <row r="32">
          <cell r="A32">
            <v>1021</v>
          </cell>
          <cell r="C32" t="str">
            <v>Предприятия  группы</v>
          </cell>
        </row>
        <row r="33">
          <cell r="A33" t="str">
            <v>1021.1</v>
          </cell>
          <cell r="C33" t="str">
            <v>ЛУКОЙЛ-Интернешнл</v>
          </cell>
        </row>
        <row r="34">
          <cell r="A34" t="str">
            <v>1021.2</v>
          </cell>
          <cell r="C34" t="str">
            <v>…</v>
          </cell>
        </row>
        <row r="35">
          <cell r="A35" t="str">
            <v>1021.3</v>
          </cell>
        </row>
        <row r="36">
          <cell r="A36">
            <v>1022</v>
          </cell>
          <cell r="C36" t="str">
            <v>Предприятия ЛУКОЙЛ</v>
          </cell>
        </row>
        <row r="37">
          <cell r="A37" t="str">
            <v>1022.1</v>
          </cell>
          <cell r="C37" t="str">
            <v>ЛУКОЙЛ-Петролеум</v>
          </cell>
        </row>
        <row r="38">
          <cell r="A38" t="str">
            <v>1022.2</v>
          </cell>
          <cell r="C38" t="str">
            <v>…</v>
          </cell>
        </row>
        <row r="39">
          <cell r="A39" t="str">
            <v>1022.3</v>
          </cell>
        </row>
        <row r="40">
          <cell r="A40">
            <v>1023</v>
          </cell>
          <cell r="C40" t="str">
            <v>Прочие контрагенты</v>
          </cell>
        </row>
        <row r="41">
          <cell r="A41" t="str">
            <v>1023.1</v>
          </cell>
          <cell r="C41" t="str">
            <v>…</v>
          </cell>
        </row>
        <row r="42">
          <cell r="A42" t="str">
            <v>1023.2</v>
          </cell>
          <cell r="C42" t="str">
            <v>…</v>
          </cell>
        </row>
        <row r="43">
          <cell r="A43">
            <v>20</v>
          </cell>
          <cell r="B43" t="str">
            <v>Краткосрочные кредиты</v>
          </cell>
        </row>
        <row r="44">
          <cell r="A44">
            <v>201</v>
          </cell>
          <cell r="B44" t="str">
            <v>основной долг</v>
          </cell>
        </row>
        <row r="45">
          <cell r="A45">
            <v>2011</v>
          </cell>
          <cell r="C45" t="str">
            <v>Предприятия  группы</v>
          </cell>
        </row>
        <row r="46">
          <cell r="A46" t="str">
            <v>2011.1</v>
          </cell>
          <cell r="C46" t="str">
            <v>ЛУКОЙЛ-Интернешнл</v>
          </cell>
        </row>
        <row r="47">
          <cell r="A47" t="str">
            <v>2011.2</v>
          </cell>
          <cell r="C47" t="str">
            <v>…</v>
          </cell>
        </row>
        <row r="48">
          <cell r="A48" t="str">
            <v>2011.3</v>
          </cell>
        </row>
        <row r="49">
          <cell r="A49">
            <v>2012</v>
          </cell>
          <cell r="C49" t="str">
            <v>Предприятия ЛУКОЙЛ</v>
          </cell>
        </row>
        <row r="50">
          <cell r="A50" t="str">
            <v>2012.1</v>
          </cell>
          <cell r="C50" t="str">
            <v>ЛУКОЙЛ-Петролеум</v>
          </cell>
        </row>
        <row r="51">
          <cell r="A51" t="str">
            <v>2012.2</v>
          </cell>
          <cell r="C51" t="str">
            <v>…</v>
          </cell>
        </row>
        <row r="52">
          <cell r="A52" t="str">
            <v>2012.3</v>
          </cell>
        </row>
        <row r="53">
          <cell r="A53">
            <v>2013</v>
          </cell>
          <cell r="C53" t="str">
            <v>Прочие контрагенты</v>
          </cell>
        </row>
        <row r="54">
          <cell r="A54" t="str">
            <v>2013.1</v>
          </cell>
          <cell r="C54" t="str">
            <v>…</v>
          </cell>
        </row>
        <row r="55">
          <cell r="A55" t="str">
            <v>2013.2</v>
          </cell>
          <cell r="C55" t="str">
            <v>…</v>
          </cell>
        </row>
        <row r="56">
          <cell r="A56">
            <v>202</v>
          </cell>
          <cell r="B56" t="str">
            <v>проценты</v>
          </cell>
        </row>
        <row r="57">
          <cell r="A57">
            <v>2021</v>
          </cell>
          <cell r="C57" t="str">
            <v>Предприятия  группы</v>
          </cell>
        </row>
        <row r="58">
          <cell r="A58" t="str">
            <v>2021.1</v>
          </cell>
          <cell r="C58" t="str">
            <v>ЛУКОЙЛ-Интернешнл</v>
          </cell>
        </row>
        <row r="59">
          <cell r="A59" t="str">
            <v>2021.2</v>
          </cell>
          <cell r="C59" t="str">
            <v>…</v>
          </cell>
        </row>
        <row r="60">
          <cell r="A60" t="str">
            <v>2021.3</v>
          </cell>
        </row>
        <row r="61">
          <cell r="A61">
            <v>2022</v>
          </cell>
          <cell r="C61" t="str">
            <v>Предприятия ЛУКОЙЛ</v>
          </cell>
        </row>
        <row r="62">
          <cell r="A62" t="str">
            <v>2022.1</v>
          </cell>
          <cell r="C62" t="str">
            <v>ЛУКОЙЛ-Петролеум</v>
          </cell>
        </row>
        <row r="63">
          <cell r="A63" t="str">
            <v>2022.2</v>
          </cell>
          <cell r="C63" t="str">
            <v>…</v>
          </cell>
        </row>
        <row r="64">
          <cell r="A64" t="str">
            <v>2023.1</v>
          </cell>
        </row>
        <row r="65">
          <cell r="A65">
            <v>2023</v>
          </cell>
          <cell r="C65" t="str">
            <v>Прочие контрагенты</v>
          </cell>
        </row>
        <row r="66">
          <cell r="A66" t="str">
            <v>2023.1</v>
          </cell>
          <cell r="C66" t="str">
            <v>…</v>
          </cell>
        </row>
        <row r="67">
          <cell r="A67" t="str">
            <v>2023.2</v>
          </cell>
          <cell r="C67" t="str">
            <v>…</v>
          </cell>
        </row>
        <row r="68">
          <cell r="A68">
            <v>30</v>
          </cell>
          <cell r="B68" t="str">
            <v>Долгосрочные займы</v>
          </cell>
        </row>
        <row r="69">
          <cell r="A69">
            <v>301</v>
          </cell>
          <cell r="B69" t="str">
            <v>основной долг</v>
          </cell>
        </row>
        <row r="70">
          <cell r="A70">
            <v>3011</v>
          </cell>
          <cell r="C70" t="str">
            <v>Предприятия  группы</v>
          </cell>
        </row>
        <row r="71">
          <cell r="A71" t="str">
            <v>3011.1</v>
          </cell>
          <cell r="C71" t="str">
            <v>ЛУКОЙЛ-Интернешнл</v>
          </cell>
        </row>
        <row r="72">
          <cell r="A72" t="str">
            <v>3011.2</v>
          </cell>
          <cell r="C72" t="str">
            <v>…</v>
          </cell>
        </row>
        <row r="73">
          <cell r="A73" t="str">
            <v>3011.3</v>
          </cell>
        </row>
        <row r="74">
          <cell r="A74">
            <v>3012</v>
          </cell>
          <cell r="C74" t="str">
            <v>Предприятия ЛУКОЙЛ</v>
          </cell>
        </row>
        <row r="75">
          <cell r="A75" t="str">
            <v>3012.1</v>
          </cell>
          <cell r="C75" t="str">
            <v>ЛУКОЙЛ-Петролеум</v>
          </cell>
        </row>
        <row r="76">
          <cell r="A76" t="str">
            <v>3012.2</v>
          </cell>
          <cell r="C76" t="str">
            <v>…</v>
          </cell>
        </row>
        <row r="77">
          <cell r="A77" t="str">
            <v>3012.3</v>
          </cell>
        </row>
        <row r="78">
          <cell r="A78">
            <v>3013</v>
          </cell>
          <cell r="C78" t="str">
            <v>Прочие контрагенты</v>
          </cell>
        </row>
        <row r="79">
          <cell r="A79" t="str">
            <v>3013.1</v>
          </cell>
          <cell r="C79" t="str">
            <v>…</v>
          </cell>
        </row>
        <row r="80">
          <cell r="A80" t="str">
            <v>3013.2</v>
          </cell>
          <cell r="C80" t="str">
            <v>…</v>
          </cell>
        </row>
        <row r="81">
          <cell r="A81">
            <v>302</v>
          </cell>
          <cell r="B81" t="str">
            <v>проценты</v>
          </cell>
        </row>
        <row r="82">
          <cell r="A82">
            <v>3021</v>
          </cell>
          <cell r="C82" t="str">
            <v>Предприятия  группы</v>
          </cell>
        </row>
        <row r="83">
          <cell r="A83" t="str">
            <v>3021.1</v>
          </cell>
          <cell r="C83" t="str">
            <v>ЛУКОЙЛ-Интернешнл</v>
          </cell>
        </row>
        <row r="84">
          <cell r="A84" t="str">
            <v>3021.2</v>
          </cell>
          <cell r="C84" t="str">
            <v>…</v>
          </cell>
        </row>
        <row r="85">
          <cell r="A85" t="str">
            <v>3021.3</v>
          </cell>
        </row>
        <row r="86">
          <cell r="A86">
            <v>3022</v>
          </cell>
          <cell r="C86" t="str">
            <v>Предприятия ЛУКОЙЛ</v>
          </cell>
        </row>
        <row r="87">
          <cell r="A87" t="str">
            <v>3022.1</v>
          </cell>
          <cell r="C87" t="str">
            <v>ЛУКОЙЛ-Петролеум</v>
          </cell>
        </row>
        <row r="88">
          <cell r="A88" t="str">
            <v>3022.2</v>
          </cell>
          <cell r="C88" t="str">
            <v>…</v>
          </cell>
        </row>
        <row r="89">
          <cell r="A89" t="str">
            <v>3022.3</v>
          </cell>
        </row>
        <row r="90">
          <cell r="A90">
            <v>3023</v>
          </cell>
          <cell r="C90" t="str">
            <v>Прочие контрагенты</v>
          </cell>
        </row>
        <row r="91">
          <cell r="A91" t="str">
            <v>3023.1</v>
          </cell>
          <cell r="C91" t="str">
            <v>…</v>
          </cell>
        </row>
        <row r="92">
          <cell r="A92" t="str">
            <v>3023.2</v>
          </cell>
          <cell r="C92" t="str">
            <v>…</v>
          </cell>
        </row>
        <row r="93">
          <cell r="A93">
            <v>40</v>
          </cell>
          <cell r="B93" t="str">
            <v>Краткосрочные займы</v>
          </cell>
        </row>
        <row r="94">
          <cell r="A94">
            <v>401</v>
          </cell>
          <cell r="B94" t="str">
            <v>основной долг</v>
          </cell>
        </row>
        <row r="95">
          <cell r="A95">
            <v>4011</v>
          </cell>
          <cell r="C95" t="str">
            <v>Предприятия  группы</v>
          </cell>
        </row>
        <row r="96">
          <cell r="A96" t="str">
            <v>4011.1</v>
          </cell>
          <cell r="C96" t="str">
            <v>ЛУКОЙЛ-Интернешнл</v>
          </cell>
        </row>
        <row r="97">
          <cell r="A97" t="str">
            <v>4011.2</v>
          </cell>
          <cell r="C97" t="str">
            <v>…</v>
          </cell>
        </row>
        <row r="98">
          <cell r="A98" t="str">
            <v>4011.3</v>
          </cell>
        </row>
        <row r="99">
          <cell r="A99">
            <v>4012</v>
          </cell>
          <cell r="C99" t="str">
            <v>Предприятия ЛУКОЙЛ</v>
          </cell>
        </row>
        <row r="100">
          <cell r="A100" t="str">
            <v>4012.1</v>
          </cell>
          <cell r="C100" t="str">
            <v>ЛУКОЙЛ-Петролеум</v>
          </cell>
        </row>
        <row r="101">
          <cell r="A101" t="str">
            <v>4012.2</v>
          </cell>
          <cell r="C101" t="str">
            <v>…</v>
          </cell>
        </row>
        <row r="102">
          <cell r="A102" t="str">
            <v>4012.3</v>
          </cell>
        </row>
        <row r="103">
          <cell r="A103">
            <v>4013</v>
          </cell>
          <cell r="C103" t="str">
            <v>Прочие контрагенты</v>
          </cell>
        </row>
        <row r="104">
          <cell r="A104" t="str">
            <v>4013.1</v>
          </cell>
          <cell r="C104" t="str">
            <v>…</v>
          </cell>
        </row>
        <row r="105">
          <cell r="A105" t="str">
            <v>4013.2</v>
          </cell>
          <cell r="C105" t="str">
            <v>…</v>
          </cell>
        </row>
        <row r="106">
          <cell r="A106">
            <v>402</v>
          </cell>
          <cell r="B106" t="str">
            <v>проценты</v>
          </cell>
        </row>
      </sheetData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огласование"/>
      <sheetName val="Затратный"/>
      <sheetName val="Сравнительный"/>
      <sheetName val="Регрессии"/>
      <sheetName val="Оргтехника"/>
      <sheetName val="Группы"/>
      <sheetName val="Свод"/>
      <sheetName val="ФИ"/>
      <sheetName val="Износ"/>
      <sheetName val="Ликвидность"/>
      <sheetName val="Средний пролет"/>
      <sheetName val="Коэффициенты"/>
    </sheetNames>
    <sheetDataSet>
      <sheetData sheetId="0">
        <row r="1">
          <cell r="B1">
            <v>42400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ЗАО &quot;ИХП&quot;"/>
      <sheetName val="ФП(31)"/>
      <sheetName val="Запасы(16)"/>
      <sheetName val="Соц. выплаты(20)"/>
      <sheetName val="Налоги(19)"/>
      <sheetName val="Расчет налогов (19а)"/>
      <sheetName val="жд тариф(15)"/>
      <sheetName val="Прочие(24)"/>
      <sheetName val="Зарплата(17)"/>
      <sheetName val="Пр. пост.(4а)"/>
      <sheetName val="Инвестиции(18)"/>
      <sheetName val="Услуги банков(22)"/>
      <sheetName val="Мат и услуги(13)"/>
      <sheetName val="Отгрузка(3)"/>
      <sheetName val="Цены на пр-цию(2)"/>
      <sheetName val="Выручка(4)"/>
      <sheetName val="Страхование(21)"/>
      <sheetName val="Топливо(10)"/>
      <sheetName val="Энергетика(7)"/>
      <sheetName val="Химикаты(отеч.)(8)"/>
      <sheetName val="Химикаты(имп.)(9)"/>
      <sheetName val="Мат-лы тг(11)"/>
      <sheetName val="Мат-лы тб(12)"/>
      <sheetName val="Таможня (импорт)(14)"/>
      <sheetName val="Корп. платежи(30)"/>
      <sheetName val="Движ. деб з-ти(26)"/>
      <sheetName val="Движ. кр. зад-ти(27)"/>
      <sheetName val="Ф№2(28)"/>
      <sheetName val="Ф№1(29)"/>
      <sheetName val="Фин. сост.(32)"/>
      <sheetName val="Переход от бюдж.(33)"/>
      <sheetName val="Инвестиции_18_"/>
      <sheetName val="Начало"/>
      <sheetName val="Лист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НЭИ застр"/>
      <sheetName val="ННЭИ незастр"/>
      <sheetName val="Пред приб"/>
      <sheetName val="Модульный"/>
      <sheetName val="УПВС с землей"/>
      <sheetName val="УПВС"/>
      <sheetName val="рассчет ФИ"/>
      <sheetName val="признаки ФИ "/>
      <sheetName val="НФИк"/>
      <sheetName val="НФИд"/>
      <sheetName val="Лист1"/>
      <sheetName val="Расчет коэф мод"/>
      <sheetName val="УФУ2"/>
      <sheetName val="Расчет ст-ти модерн"/>
      <sheetName val="функ2рода кор"/>
      <sheetName val="земля"/>
      <sheetName val="Balance Sheet"/>
      <sheetName val="Смета"/>
      <sheetName val="Инвестиции(18)"/>
      <sheetName val="Начало"/>
      <sheetName val="све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спорт"/>
      <sheetName val="опт"/>
    </sheetNames>
    <sheetDataSet>
      <sheetData sheetId="0" refreshError="1"/>
      <sheetData sheetId="1" refreshError="1">
        <row r="8">
          <cell r="C8" t="str">
            <v>Fuel Oil (Mazut)</v>
          </cell>
        </row>
        <row r="9">
          <cell r="C9" t="str">
            <v>Jet Kero</v>
          </cell>
        </row>
        <row r="10">
          <cell r="C10" t="str">
            <v>Other</v>
          </cell>
        </row>
        <row r="11">
          <cell r="B11" t="str">
            <v>ONOS</v>
          </cell>
        </row>
        <row r="12">
          <cell r="C12" t="str">
            <v>High Octane Gasoline (A-98, A-95 &amp; A-92)</v>
          </cell>
        </row>
        <row r="13">
          <cell r="C13" t="str">
            <v>Low Octane Gasoline (A-80)</v>
          </cell>
        </row>
        <row r="14">
          <cell r="C14" t="str">
            <v>Diesel</v>
          </cell>
        </row>
        <row r="15">
          <cell r="C15" t="str">
            <v>Fuel Oil (Mazut)</v>
          </cell>
        </row>
        <row r="16">
          <cell r="C16" t="str">
            <v>Jet Kero</v>
          </cell>
        </row>
        <row r="17">
          <cell r="C17" t="str">
            <v>Other</v>
          </cell>
        </row>
        <row r="18">
          <cell r="B18" t="str">
            <v>SNPZ</v>
          </cell>
        </row>
        <row r="19">
          <cell r="C19" t="str">
            <v>High Octane Gasoline (A-98, A-95 &amp; A-92)</v>
          </cell>
        </row>
        <row r="20">
          <cell r="C20" t="str">
            <v>Low Octane Gasoline (A-80)</v>
          </cell>
        </row>
        <row r="21">
          <cell r="C21" t="str">
            <v>Diesel</v>
          </cell>
        </row>
        <row r="22">
          <cell r="C22" t="str">
            <v>Fuel Oil (Mazut)</v>
          </cell>
        </row>
        <row r="23">
          <cell r="C23" t="str">
            <v>Jet Kero</v>
          </cell>
        </row>
        <row r="24">
          <cell r="C24" t="str">
            <v>Other</v>
          </cell>
        </row>
        <row r="25">
          <cell r="B25" t="str">
            <v>NNPO</v>
          </cell>
        </row>
        <row r="26">
          <cell r="C26" t="str">
            <v>High Octane Gasoline (A-98, A-95 &amp; A-92)</v>
          </cell>
        </row>
        <row r="27">
          <cell r="C27" t="str">
            <v>Low Octane Gasoline (A-80)</v>
          </cell>
        </row>
        <row r="28">
          <cell r="C28" t="str">
            <v>Diesel</v>
          </cell>
        </row>
        <row r="29">
          <cell r="C29" t="str">
            <v>Fuel Oil (Mazut)</v>
          </cell>
        </row>
        <row r="30">
          <cell r="C30" t="str">
            <v>Jet Kero</v>
          </cell>
        </row>
        <row r="31">
          <cell r="C31" t="str">
            <v>Other</v>
          </cell>
        </row>
        <row r="32">
          <cell r="B32" t="str">
            <v>KNPZ</v>
          </cell>
        </row>
        <row r="33">
          <cell r="C33" t="str">
            <v>High Octane Gasoline (A-98, A-95 &amp; A-92)</v>
          </cell>
        </row>
        <row r="34">
          <cell r="C34" t="str">
            <v>Low Octane Gasoline (A-80)</v>
          </cell>
        </row>
        <row r="35">
          <cell r="C35" t="str">
            <v>Diesel</v>
          </cell>
        </row>
        <row r="36">
          <cell r="C36" t="str">
            <v>Fuel Oil (Mazut)</v>
          </cell>
        </row>
        <row r="37">
          <cell r="C37" t="str">
            <v>Jet Kero</v>
          </cell>
        </row>
        <row r="38">
          <cell r="C38" t="str">
            <v>Other</v>
          </cell>
        </row>
        <row r="39">
          <cell r="B39" t="str">
            <v>TOTAL</v>
          </cell>
        </row>
        <row r="40">
          <cell r="C40" t="str">
            <v>High Octane Gasoline (A-98, A-95 &amp; A-92)</v>
          </cell>
        </row>
        <row r="41">
          <cell r="C41" t="str">
            <v>Low Octane Gasoline (A-80)</v>
          </cell>
        </row>
        <row r="42">
          <cell r="C42" t="str">
            <v>Diesel</v>
          </cell>
        </row>
        <row r="43">
          <cell r="C43" t="str">
            <v>Fuel Oil (Mazut)</v>
          </cell>
        </row>
        <row r="44">
          <cell r="C44" t="str">
            <v>Jet Kero</v>
          </cell>
        </row>
        <row r="45">
          <cell r="C45" t="str">
            <v>Other</v>
          </cell>
        </row>
        <row r="48">
          <cell r="C48" t="str">
            <v>Transit</v>
          </cell>
        </row>
        <row r="49">
          <cell r="C49" t="str">
            <v>High Octane Gasoline (A-98, A-95 &amp; A-92)</v>
          </cell>
        </row>
        <row r="50">
          <cell r="C50" t="str">
            <v>Low Octane Gasoline (A-80)</v>
          </cell>
        </row>
        <row r="51">
          <cell r="C51" t="str">
            <v>Diesel</v>
          </cell>
        </row>
        <row r="52">
          <cell r="C52" t="str">
            <v>Fuel Oil (Mazut)</v>
          </cell>
        </row>
        <row r="53">
          <cell r="C53" t="str">
            <v>Jet Kero</v>
          </cell>
        </row>
        <row r="54">
          <cell r="C54" t="str">
            <v>Other</v>
          </cell>
        </row>
        <row r="59">
          <cell r="C59" t="str">
            <v>Megapolis</v>
          </cell>
        </row>
        <row r="60">
          <cell r="C60" t="str">
            <v>High Octane Gasoline (A-98, A-95 &amp; A-92)</v>
          </cell>
        </row>
        <row r="61">
          <cell r="C61" t="str">
            <v>Low Octane Gasoline (A-80)</v>
          </cell>
        </row>
        <row r="62">
          <cell r="C62" t="str">
            <v>Diesel</v>
          </cell>
        </row>
        <row r="63">
          <cell r="C63" t="str">
            <v>Fuel Oil (Mazut)</v>
          </cell>
        </row>
        <row r="64">
          <cell r="C64" t="str">
            <v>Jet Kero</v>
          </cell>
        </row>
        <row r="65">
          <cell r="C65" t="str">
            <v>Other</v>
          </cell>
        </row>
        <row r="68">
          <cell r="C68" t="str">
            <v>Total</v>
          </cell>
          <cell r="K68">
            <v>2005</v>
          </cell>
          <cell r="L68" t="str">
            <v>Q1</v>
          </cell>
          <cell r="M68" t="str">
            <v>Q2</v>
          </cell>
          <cell r="N68" t="str">
            <v>Q3</v>
          </cell>
          <cell r="O68" t="str">
            <v>Q4</v>
          </cell>
        </row>
        <row r="69">
          <cell r="C69" t="str">
            <v>High Octane Gasoline (A-98, A-95 &amp; A-92)</v>
          </cell>
          <cell r="K69">
            <v>162.01090000000002</v>
          </cell>
          <cell r="L69">
            <v>1.9600000000000003E-2</v>
          </cell>
          <cell r="M69">
            <v>2.0002</v>
          </cell>
          <cell r="N69">
            <v>22.981099999999998</v>
          </cell>
          <cell r="O69">
            <v>137.01</v>
          </cell>
        </row>
        <row r="70">
          <cell r="C70" t="str">
            <v>Revenue</v>
          </cell>
          <cell r="K70">
            <v>55.793278834628644</v>
          </cell>
          <cell r="L70">
            <v>6.8645733333333337E-3</v>
          </cell>
          <cell r="M70">
            <v>0.70053540031440042</v>
          </cell>
          <cell r="N70">
            <v>7.9136738390670027</v>
          </cell>
          <cell r="O70">
            <v>47.172205021913904</v>
          </cell>
        </row>
        <row r="71">
          <cell r="C71" t="str">
            <v>Excise</v>
          </cell>
        </row>
        <row r="72">
          <cell r="C72" t="str">
            <v>Transport</v>
          </cell>
        </row>
        <row r="73">
          <cell r="C73" t="str">
            <v>Low Octane Gasoline (A-80)</v>
          </cell>
        </row>
        <row r="74">
          <cell r="C74" t="str">
            <v>Revenue</v>
          </cell>
        </row>
        <row r="75">
          <cell r="C75" t="str">
            <v>Excise</v>
          </cell>
        </row>
        <row r="76">
          <cell r="C76" t="str">
            <v>Transport</v>
          </cell>
        </row>
        <row r="77">
          <cell r="C77" t="str">
            <v>Diesel</v>
          </cell>
        </row>
        <row r="78">
          <cell r="C78" t="str">
            <v>Revenue</v>
          </cell>
        </row>
        <row r="79">
          <cell r="C79" t="str">
            <v>Excise</v>
          </cell>
        </row>
        <row r="80">
          <cell r="C80" t="str">
            <v>Transport</v>
          </cell>
        </row>
        <row r="81">
          <cell r="C81" t="str">
            <v>Fuel Oil (Mazut)</v>
          </cell>
        </row>
        <row r="82">
          <cell r="C82" t="str">
            <v>Revenue</v>
          </cell>
        </row>
        <row r="83">
          <cell r="C83" t="str">
            <v>Excise</v>
          </cell>
        </row>
        <row r="84">
          <cell r="C84" t="str">
            <v>Transport</v>
          </cell>
        </row>
        <row r="85">
          <cell r="C85" t="str">
            <v>Jet Kero</v>
          </cell>
        </row>
        <row r="86">
          <cell r="C86" t="str">
            <v>Revenue</v>
          </cell>
        </row>
        <row r="87">
          <cell r="C87" t="str">
            <v>Excise</v>
          </cell>
        </row>
        <row r="88">
          <cell r="C88" t="str">
            <v>Transport</v>
          </cell>
        </row>
        <row r="89">
          <cell r="C89" t="str">
            <v>Other</v>
          </cell>
        </row>
        <row r="90">
          <cell r="C90" t="str">
            <v>Revenue</v>
          </cell>
        </row>
        <row r="91">
          <cell r="C91" t="str">
            <v>Excise</v>
          </cell>
        </row>
        <row r="92">
          <cell r="C92" t="str">
            <v>Transport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од.инф."/>
      <sheetName val="Здания-Сравнит"/>
      <sheetName val="Здания-Затратн"/>
      <sheetName val="Здания-Доходн"/>
      <sheetName val="Здания-Взвеш"/>
    </sheetNames>
    <sheetDataSet>
      <sheetData sheetId="0" refreshError="1">
        <row r="7">
          <cell r="A7" t="str">
            <v>Производственный корпус № 1</v>
          </cell>
          <cell r="B7">
            <v>306</v>
          </cell>
          <cell r="C7">
            <v>3.2</v>
          </cell>
        </row>
        <row r="8">
          <cell r="A8" t="str">
            <v>Производственный корпус № 2</v>
          </cell>
          <cell r="B8">
            <v>77.400000000000006</v>
          </cell>
          <cell r="C8">
            <v>3</v>
          </cell>
        </row>
        <row r="9">
          <cell r="A9" t="str">
            <v>Производственный корпус № 3</v>
          </cell>
          <cell r="B9">
            <v>134</v>
          </cell>
          <cell r="C9">
            <v>3</v>
          </cell>
        </row>
        <row r="10">
          <cell r="A10" t="str">
            <v>Производственный корпус № 4</v>
          </cell>
          <cell r="B10">
            <v>426.2</v>
          </cell>
          <cell r="C10">
            <v>3.09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_DATA"/>
      <sheetName val="Summary"/>
      <sheetName val="Shares"/>
      <sheetName val="Bonds"/>
      <sheetName val="FES"/>
      <sheetName val="Закупки"/>
      <sheetName val="Master Inputs Start Here"/>
      <sheetName val="HBS initial"/>
      <sheetName val="HIS initial"/>
      <sheetName val="БДР"/>
      <sheetName val="карточка"/>
      <sheetName val="затраты"/>
      <sheetName val="ЗАО_н.ит"/>
      <sheetName val="ЗАО_мес"/>
      <sheetName val="Main"/>
      <sheetName val="Journals"/>
      <sheetName val="Ф-1"/>
    </sheetNames>
    <sheetDataSet>
      <sheetData sheetId="0">
        <row r="2">
          <cell r="B2">
            <v>28.485299999999999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nsitivity"/>
      <sheetName val="Control output"/>
      <sheetName val="DCF"/>
      <sheetName val="HQ_Cash"/>
      <sheetName val="Stats_Cur"/>
      <sheetName val="Stats_New"/>
      <sheetName val="Assumption_Cur"/>
      <sheetName val="Assumption_New"/>
      <sheetName val="RampUp_New"/>
      <sheetName val="Projects"/>
      <sheetName val=" Adjustments Output"/>
      <sheetName val="Operational"/>
      <sheetName val="Debt"/>
    </sheetNames>
    <sheetDataSet>
      <sheetData sheetId="0">
        <row r="5">
          <cell r="S5">
            <v>0</v>
          </cell>
        </row>
        <row r="6">
          <cell r="S6">
            <v>0</v>
          </cell>
        </row>
        <row r="17">
          <cell r="I17">
            <v>0</v>
          </cell>
          <cell r="S17">
            <v>0</v>
          </cell>
        </row>
        <row r="35">
          <cell r="I35">
            <v>0</v>
          </cell>
        </row>
      </sheetData>
      <sheetData sheetId="1">
        <row r="29">
          <cell r="Q29">
            <v>44711</v>
          </cell>
        </row>
      </sheetData>
      <sheetData sheetId="2" refreshError="1"/>
      <sheetData sheetId="3">
        <row r="5">
          <cell r="A5">
            <v>1</v>
          </cell>
        </row>
      </sheetData>
      <sheetData sheetId="4" refreshError="1"/>
      <sheetData sheetId="5">
        <row r="4">
          <cell r="B4" t="str">
            <v>Проект 48</v>
          </cell>
        </row>
      </sheetData>
      <sheetData sheetId="6" refreshError="1"/>
      <sheetData sheetId="7">
        <row r="5">
          <cell r="J5">
            <v>0</v>
          </cell>
        </row>
      </sheetData>
      <sheetData sheetId="8" refreshError="1"/>
      <sheetData sheetId="9" refreshError="1"/>
      <sheetData sheetId="10">
        <row r="66">
          <cell r="I66">
            <v>1373635.3274250797</v>
          </cell>
        </row>
      </sheetData>
      <sheetData sheetId="11">
        <row r="104">
          <cell r="E104" t="str">
            <v>Новые проекты</v>
          </cell>
        </row>
      </sheetData>
      <sheetData sheetId="1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95"/>
      <sheetName val="Баланс"/>
      <sheetName val="СОФ"/>
      <sheetName val="Ден_Ср"/>
      <sheetName val="Цен_Бум"/>
      <sheetName val="Пр_Уб"/>
      <sheetName val="ИРП"/>
      <sheetName val="Д1"/>
      <sheetName val="КОЭФ"/>
      <sheetName val="ДСБ"/>
      <sheetName val="Графики"/>
      <sheetName val="итог"/>
      <sheetName val="Д4"/>
      <sheetName val="ДП"/>
      <sheetName val="ЧА"/>
      <sheetName val="Д2"/>
      <sheetName val="Стр-ра Обор.А"/>
      <sheetName val="Внеоб_акт."/>
      <sheetName val="Д5"/>
      <sheetName val="Д6"/>
      <sheetName val="Обор.акт"/>
      <sheetName val="Анал_Б"/>
      <sheetName val="Ликв_Д"/>
      <sheetName val="Ликв-ть"/>
      <sheetName val="Фин. уст-ть"/>
      <sheetName val="Рент-ть"/>
      <sheetName val="Лист2"/>
      <sheetName val="Структура оборотных акт"/>
      <sheetName val="ПВД"/>
      <sheetName val="CF office"/>
      <sheetName val="Rent Assumptions"/>
      <sheetName val=" General Assumptions"/>
      <sheetName val="Кредит (2)"/>
      <sheetName val="Кредит"/>
      <sheetName val="Анализ инвест"/>
      <sheetName val="Лист3"/>
      <sheetName val=" Assumptions"/>
      <sheetName val="дох_word"/>
      <sheetName val="1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6">
          <cell r="A6">
            <v>10000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Производство"/>
      <sheetName val="Прибыль"/>
      <sheetName val="Баланс"/>
      <sheetName val="Кэш-фло"/>
      <sheetName val="Анализ"/>
      <sheetName val="Графики"/>
      <sheetName val="Inside"/>
      <sheetName val="Расчеты"/>
      <sheetName val="SENS"/>
      <sheetName val="Lang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8">
          <cell r="A8" t="str">
            <v>Продукты: Параметры</v>
          </cell>
        </row>
        <row r="20">
          <cell r="A20" t="str">
            <v>Продукты: Получено денег</v>
          </cell>
        </row>
        <row r="32">
          <cell r="A32" t="str">
            <v>Продукты: Получено НДС</v>
          </cell>
        </row>
        <row r="44">
          <cell r="A44" t="str">
            <v>Продукты: Продажи без НДС</v>
          </cell>
        </row>
        <row r="58">
          <cell r="A58" t="str">
            <v>Материалы/комплектующие</v>
          </cell>
        </row>
        <row r="70">
          <cell r="A70" t="str">
            <v>Материалы/комплектующие</v>
          </cell>
        </row>
        <row r="82">
          <cell r="A82" t="str">
            <v>Материалы/комплектующие</v>
          </cell>
        </row>
        <row r="94">
          <cell r="A94" t="str">
            <v>Материалы/комплектующие</v>
          </cell>
        </row>
        <row r="106">
          <cell r="A106" t="str">
            <v>Материалы/комплектующие</v>
          </cell>
        </row>
        <row r="118">
          <cell r="A118" t="str">
            <v>Материалы/комплектующие</v>
          </cell>
        </row>
        <row r="131">
          <cell r="A131" t="str">
            <v>Активы: здания</v>
          </cell>
        </row>
        <row r="134">
          <cell r="A134" t="str">
            <v>Активы: оборудование</v>
          </cell>
        </row>
        <row r="138">
          <cell r="A138" t="str">
            <v>Активы: транспорт</v>
          </cell>
        </row>
        <row r="142">
          <cell r="A142" t="str">
            <v>Активы: оргтехника</v>
          </cell>
        </row>
        <row r="146">
          <cell r="A146" t="str">
            <v>Активы: прочие</v>
          </cell>
        </row>
        <row r="150">
          <cell r="A150" t="str">
            <v>Активы: здания</v>
          </cell>
        </row>
        <row r="153">
          <cell r="A153" t="str">
            <v>Активы: оборудование</v>
          </cell>
        </row>
        <row r="157">
          <cell r="A157" t="str">
            <v>Активы: транспорт</v>
          </cell>
        </row>
        <row r="161">
          <cell r="A161" t="str">
            <v>Активы: оргтехника</v>
          </cell>
        </row>
        <row r="165">
          <cell r="A165" t="str">
            <v>Активы: прочие</v>
          </cell>
        </row>
        <row r="169">
          <cell r="A169" t="str">
            <v>Активы: здания</v>
          </cell>
        </row>
        <row r="172">
          <cell r="A172" t="str">
            <v>Активы: оборудование</v>
          </cell>
        </row>
        <row r="176">
          <cell r="A176" t="str">
            <v>Активы: транспорт</v>
          </cell>
        </row>
        <row r="180">
          <cell r="A180" t="str">
            <v>Активы: оргтехника</v>
          </cell>
        </row>
        <row r="184">
          <cell r="A184" t="str">
            <v>Активы: прочие</v>
          </cell>
        </row>
        <row r="188">
          <cell r="A188" t="str">
            <v>Активы: здания</v>
          </cell>
        </row>
        <row r="191">
          <cell r="A191" t="str">
            <v>Активы: оборудование</v>
          </cell>
        </row>
        <row r="195">
          <cell r="A195" t="str">
            <v>Активы: транспорт</v>
          </cell>
        </row>
        <row r="199">
          <cell r="A199" t="str">
            <v>Активы: оргтехника</v>
          </cell>
        </row>
        <row r="203">
          <cell r="A203" t="str">
            <v>Активы: прочие</v>
          </cell>
        </row>
        <row r="207">
          <cell r="A207" t="str">
            <v>Активы: здания</v>
          </cell>
        </row>
        <row r="210">
          <cell r="A210" t="str">
            <v>Активы: оборудование</v>
          </cell>
        </row>
        <row r="214">
          <cell r="A214" t="str">
            <v>Активы: транспорт</v>
          </cell>
        </row>
        <row r="218">
          <cell r="A218" t="str">
            <v>Активы: оргтехника</v>
          </cell>
        </row>
        <row r="222">
          <cell r="A222" t="str">
            <v>Активы: прочие</v>
          </cell>
        </row>
        <row r="226">
          <cell r="A226" t="str">
            <v>Активы: здания</v>
          </cell>
        </row>
        <row r="229">
          <cell r="A229" t="str">
            <v>Активы: оборудование</v>
          </cell>
        </row>
        <row r="233">
          <cell r="A233" t="str">
            <v>Активы: транспорт</v>
          </cell>
        </row>
        <row r="237">
          <cell r="A237" t="str">
            <v>Активы: оргтехника</v>
          </cell>
        </row>
        <row r="241">
          <cell r="A241" t="str">
            <v>Активы: прочие</v>
          </cell>
        </row>
        <row r="245">
          <cell r="A245" t="str">
            <v>Активы: здания</v>
          </cell>
        </row>
        <row r="248">
          <cell r="A248" t="str">
            <v>Активы: оборудование</v>
          </cell>
        </row>
        <row r="252">
          <cell r="A252" t="str">
            <v>Активы: транспорт</v>
          </cell>
        </row>
        <row r="256">
          <cell r="A256" t="str">
            <v>Активы: оргтехника</v>
          </cell>
        </row>
        <row r="260">
          <cell r="A260" t="str">
            <v>Активы: прочие</v>
          </cell>
        </row>
        <row r="266">
          <cell r="A266" t="str">
            <v>Общие издержки: производство</v>
          </cell>
        </row>
        <row r="271">
          <cell r="A271" t="str">
            <v>Общие издержки: административные</v>
          </cell>
        </row>
        <row r="276">
          <cell r="A276" t="str">
            <v>Общие издержки: маркетинг</v>
          </cell>
        </row>
        <row r="280">
          <cell r="A280" t="str">
            <v>Общие издержки: производство</v>
          </cell>
        </row>
        <row r="285">
          <cell r="A285" t="str">
            <v>Общие издержки: административные</v>
          </cell>
        </row>
        <row r="290">
          <cell r="A290" t="str">
            <v>Общие издержки: маркетинг</v>
          </cell>
        </row>
        <row r="299">
          <cell r="A299" t="str">
            <v>Персонал: производство</v>
          </cell>
        </row>
        <row r="302">
          <cell r="A302" t="str">
            <v>Персонал: административный</v>
          </cell>
        </row>
        <row r="312">
          <cell r="A312" t="str">
            <v>Персонал: административный</v>
          </cell>
        </row>
        <row r="316">
          <cell r="A316" t="str">
            <v>Акционеры</v>
          </cell>
        </row>
        <row r="319">
          <cell r="A319" t="str">
            <v>Акционеры</v>
          </cell>
        </row>
        <row r="322">
          <cell r="A322" t="str">
            <v>Акционеры</v>
          </cell>
        </row>
      </sheetData>
      <sheetData sheetId="8">
        <row r="5">
          <cell r="B5">
            <v>1</v>
          </cell>
        </row>
        <row r="6">
          <cell r="B6">
            <v>1</v>
          </cell>
        </row>
        <row r="7">
          <cell r="B7">
            <v>3</v>
          </cell>
        </row>
        <row r="8">
          <cell r="B8">
            <v>17</v>
          </cell>
        </row>
        <row r="9">
          <cell r="B9">
            <v>9</v>
          </cell>
        </row>
        <row r="10">
          <cell r="B10">
            <v>5</v>
          </cell>
        </row>
        <row r="13">
          <cell r="B13">
            <v>10</v>
          </cell>
        </row>
        <row r="15">
          <cell r="B15">
            <v>1</v>
          </cell>
        </row>
        <row r="16">
          <cell r="B16">
            <v>2</v>
          </cell>
        </row>
        <row r="17">
          <cell r="B17">
            <v>2</v>
          </cell>
        </row>
        <row r="18">
          <cell r="B18">
            <v>2</v>
          </cell>
        </row>
        <row r="19">
          <cell r="B19">
            <v>2</v>
          </cell>
        </row>
        <row r="21">
          <cell r="B21">
            <v>2</v>
          </cell>
        </row>
        <row r="22">
          <cell r="B22">
            <v>1</v>
          </cell>
        </row>
        <row r="23">
          <cell r="B23">
            <v>1</v>
          </cell>
        </row>
        <row r="24">
          <cell r="B24">
            <v>0</v>
          </cell>
        </row>
        <row r="26">
          <cell r="B26">
            <v>3.7801970250709083E-2</v>
          </cell>
        </row>
        <row r="33">
          <cell r="B33">
            <v>0</v>
          </cell>
          <cell r="C33">
            <v>0</v>
          </cell>
        </row>
        <row r="34">
          <cell r="B34">
            <v>0</v>
          </cell>
          <cell r="C34">
            <v>0</v>
          </cell>
        </row>
        <row r="35">
          <cell r="B35">
            <v>0</v>
          </cell>
          <cell r="C35">
            <v>0</v>
          </cell>
        </row>
        <row r="40">
          <cell r="B40">
            <v>1</v>
          </cell>
        </row>
        <row r="41">
          <cell r="B41">
            <v>60</v>
          </cell>
        </row>
        <row r="43">
          <cell r="B43">
            <v>77027.030366378051</v>
          </cell>
        </row>
        <row r="44">
          <cell r="B44">
            <v>7</v>
          </cell>
        </row>
        <row r="48">
          <cell r="B48">
            <v>3</v>
          </cell>
        </row>
        <row r="49">
          <cell r="B49">
            <v>3</v>
          </cell>
        </row>
        <row r="50">
          <cell r="B50">
            <v>1</v>
          </cell>
        </row>
        <row r="51">
          <cell r="B51">
            <v>0</v>
          </cell>
        </row>
        <row r="52">
          <cell r="B52">
            <v>8</v>
          </cell>
        </row>
        <row r="53">
          <cell r="B53">
            <v>1</v>
          </cell>
        </row>
        <row r="55">
          <cell r="C55" t="str">
            <v>руб.</v>
          </cell>
        </row>
        <row r="61">
          <cell r="B61">
            <v>0</v>
          </cell>
        </row>
      </sheetData>
      <sheetData sheetId="9" refreshError="1"/>
      <sheetData sheetId="1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brary"/>
      <sheetName val="Help"/>
      <sheetName val="Subsidiary Debt"/>
      <sheetName val="Дополнительно"/>
    </sheetNames>
    <sheetDataSet>
      <sheetData sheetId="0" refreshError="1"/>
      <sheetData sheetId="1"/>
      <sheetData sheetId="2">
        <row r="2">
          <cell r="A2" t="str">
            <v>ABN AMRO Bank</v>
          </cell>
        </row>
      </sheetData>
      <sheetData sheetId="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 1,0101,1010,0"/>
      <sheetName val="Лист 2,0201,1010,0"/>
      <sheetName val="Лист 3,0301,1010,0"/>
    </sheetNames>
    <sheetDataSet>
      <sheetData sheetId="0"/>
      <sheetData sheetId="1"/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5-09 января 2004"/>
      <sheetName val="12-16 января 2004"/>
      <sheetName val="19-23 января 2004"/>
      <sheetName val="26-30 января 2004 "/>
      <sheetName val="02-06 февраля 2004 "/>
      <sheetName val="09-13 февраля 2004  "/>
      <sheetName val="16-20 февраля 2004  "/>
      <sheetName val="24-27 февраля 2004  "/>
      <sheetName val="01-05 марта 2004 "/>
      <sheetName val="09-12 марта 2004 "/>
      <sheetName val="15-19 марта 2004 "/>
      <sheetName val="22-26 марта 2004 "/>
      <sheetName val="29.03-02.04.2004"/>
      <sheetName val="05-09 апреля 2004 "/>
      <sheetName val="12-16 апреля 2004 "/>
      <sheetName val="19-23 апреля 2004  "/>
      <sheetName val="26-30 апреля 2004  "/>
      <sheetName val="11-14 мая 2004"/>
      <sheetName val="17-21 мая 2004 "/>
      <sheetName val="24-28 мая 2004 "/>
      <sheetName val="31 мая -04 июня 2004  "/>
      <sheetName val="15-18 июня 2004  "/>
      <sheetName val="21-25 июня 2004   "/>
      <sheetName val="28 июня-2 июля 2004"/>
      <sheetName val="05-09 июля 2004 "/>
      <sheetName val="12-16 июля 2004  "/>
      <sheetName val="19-23 июля 2004"/>
      <sheetName val="26-30 июля 2004 "/>
      <sheetName val="02-06 августа 2004"/>
      <sheetName val="09-13 августа 2004 "/>
      <sheetName val="16-20 августа 2004  "/>
      <sheetName val="23-27 августа 2004   "/>
      <sheetName val="30 авг 2004 - 3 сент"/>
      <sheetName val="06-10 сентября"/>
      <sheetName val="13-17 сентября "/>
      <sheetName val="20-24 сентября "/>
      <sheetName val="27 сент-01 октября"/>
      <sheetName val="04-08 октября "/>
      <sheetName val="11-15 октября"/>
      <sheetName val="18-22 октября"/>
      <sheetName val="25-29 октября"/>
      <sheetName val="01-05 ноября 2004"/>
      <sheetName val="09-12 ноября 2004 "/>
      <sheetName val="15-19 ноября 2004 "/>
      <sheetName val="20-24 декабря 2004 "/>
      <sheetName val="27-31 декабря 2004"/>
      <sheetName val="Read me first"/>
      <sheetName val="Sum"/>
      <sheetName val="DCF"/>
      <sheetName val="AAM"/>
      <sheetName val="HBS initial"/>
      <sheetName val="HIS initial"/>
      <sheetName val="HBS"/>
      <sheetName val="HIS"/>
      <sheetName val="FRA"/>
      <sheetName val="ФА"/>
      <sheetName val="Assets"/>
      <sheetName val="Liab"/>
      <sheetName val="Master Inputs Start Here"/>
      <sheetName val="Топливный баланс"/>
      <sheetName val="Расчет тарифов и выручки"/>
      <sheetName val="WACC"/>
      <sheetName val="WorkCap"/>
      <sheetName val="CapEx_Depr"/>
      <sheetName val="кап затраты (НАО)"/>
      <sheetName val="Depr_Nez-ka"/>
      <sheetName val="псковская"/>
      <sheetName val="Эк износ"/>
      <sheetName val="Топливо ЭкИ"/>
      <sheetName val="Расходы ЭкИ"/>
      <sheetName val="ОК ЭкИ"/>
      <sheetName val="DCF ЭкИ"/>
      <sheetName val="ЭкИ по Иванову"/>
      <sheetName val="Эк изн свод"/>
      <sheetName val="Неоперационные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s"/>
      <sheetName val="DCF "/>
      <sheetName val="Income_sheet"/>
      <sheetName val="Capex"/>
      <sheetName val="WACC"/>
      <sheetName val="Market"/>
      <sheetName val="макра"/>
      <sheetName val="БДР_01_2009"/>
      <sheetName val="Balance_sheet"/>
      <sheetName val="Доли"/>
      <sheetName val="="/>
    </sheetNames>
    <sheetDataSet>
      <sheetData sheetId="0"/>
      <sheetData sheetId="1">
        <row r="47">
          <cell r="K47">
            <v>520281.08904696361</v>
          </cell>
        </row>
      </sheetData>
      <sheetData sheetId="2">
        <row r="6">
          <cell r="E6">
            <v>3161589.5799999996</v>
          </cell>
        </row>
      </sheetData>
      <sheetData sheetId="3">
        <row r="15">
          <cell r="E15">
            <v>52242.116381379994</v>
          </cell>
        </row>
      </sheetData>
      <sheetData sheetId="4">
        <row r="3">
          <cell r="Q3">
            <v>426227</v>
          </cell>
        </row>
      </sheetData>
      <sheetData sheetId="5"/>
      <sheetData sheetId="6"/>
      <sheetData sheetId="7">
        <row r="40">
          <cell r="C40">
            <v>48077</v>
          </cell>
        </row>
      </sheetData>
      <sheetData sheetId="8">
        <row r="135">
          <cell r="S135">
            <v>20885</v>
          </cell>
        </row>
      </sheetData>
      <sheetData sheetId="9"/>
      <sheetData sheetId="10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"/>
      <sheetName val="PropertyPlan"/>
      <sheetName val="Rent(ставки)"/>
      <sheetName val="BaseTable"/>
      <sheetName val="Parametrs"/>
      <sheetName val="TenantList"/>
      <sheetName val="Supplylist"/>
      <sheetName val="RentRoll"/>
      <sheetName val="Property plan (статусы)"/>
      <sheetName val="Property plan (типы помещ-й)"/>
      <sheetName val="Доход Д1+Д32"/>
      <sheetName val="Доход Д4 (парковка)"/>
      <sheetName val="Доход Д5,Д6"/>
      <sheetName val="Rent (уст.)"/>
    </sheetNames>
    <sheetDataSet>
      <sheetData sheetId="0"/>
      <sheetData sheetId="1"/>
      <sheetData sheetId="2"/>
      <sheetData sheetId="3">
        <row r="1">
          <cell r="A1">
            <v>0</v>
          </cell>
          <cell r="F1">
            <v>40725</v>
          </cell>
          <cell r="G1">
            <v>40744</v>
          </cell>
          <cell r="H1">
            <v>40756</v>
          </cell>
          <cell r="I1">
            <v>40775</v>
          </cell>
          <cell r="J1">
            <v>40787</v>
          </cell>
          <cell r="K1">
            <v>40806</v>
          </cell>
          <cell r="L1">
            <v>40817</v>
          </cell>
          <cell r="M1">
            <v>40836</v>
          </cell>
          <cell r="N1">
            <v>40848</v>
          </cell>
          <cell r="O1">
            <v>40867</v>
          </cell>
          <cell r="P1">
            <v>40878</v>
          </cell>
          <cell r="Q1">
            <v>40897</v>
          </cell>
          <cell r="R1">
            <v>40909</v>
          </cell>
          <cell r="S1">
            <v>40928</v>
          </cell>
          <cell r="T1">
            <v>40940</v>
          </cell>
          <cell r="U1">
            <v>40959</v>
          </cell>
          <cell r="V1">
            <v>40969</v>
          </cell>
          <cell r="W1">
            <v>40988</v>
          </cell>
          <cell r="X1">
            <v>41000</v>
          </cell>
          <cell r="Y1">
            <v>41019</v>
          </cell>
          <cell r="Z1">
            <v>41030</v>
          </cell>
          <cell r="AA1">
            <v>41049</v>
          </cell>
          <cell r="AB1">
            <v>41061</v>
          </cell>
          <cell r="AC1">
            <v>41080</v>
          </cell>
          <cell r="AD1">
            <v>41091</v>
          </cell>
          <cell r="AE1">
            <v>41110</v>
          </cell>
          <cell r="AF1">
            <v>41122</v>
          </cell>
          <cell r="AG1">
            <v>41141</v>
          </cell>
          <cell r="AH1">
            <v>41153</v>
          </cell>
          <cell r="AI1">
            <v>41172</v>
          </cell>
          <cell r="AJ1">
            <v>41183</v>
          </cell>
          <cell r="AK1">
            <v>41202</v>
          </cell>
          <cell r="AL1">
            <v>41214</v>
          </cell>
          <cell r="AM1">
            <v>41233</v>
          </cell>
          <cell r="AN1">
            <v>41244</v>
          </cell>
          <cell r="AO1">
            <v>41263</v>
          </cell>
          <cell r="AP1">
            <v>41275</v>
          </cell>
          <cell r="AQ1">
            <v>41294</v>
          </cell>
          <cell r="AR1">
            <v>41306</v>
          </cell>
          <cell r="AS1">
            <v>41325</v>
          </cell>
          <cell r="AT1">
            <v>41334</v>
          </cell>
          <cell r="AU1">
            <v>41353</v>
          </cell>
          <cell r="AV1">
            <v>41365</v>
          </cell>
          <cell r="AW1">
            <v>41384</v>
          </cell>
          <cell r="AX1">
            <v>41395</v>
          </cell>
          <cell r="AY1">
            <v>41414</v>
          </cell>
          <cell r="AZ1">
            <v>41426</v>
          </cell>
          <cell r="BA1">
            <v>41445</v>
          </cell>
          <cell r="BB1">
            <v>41456</v>
          </cell>
          <cell r="BC1">
            <v>41475</v>
          </cell>
          <cell r="BD1">
            <v>41487</v>
          </cell>
          <cell r="BE1">
            <v>41506</v>
          </cell>
          <cell r="BF1">
            <v>41518</v>
          </cell>
          <cell r="BG1">
            <v>41537</v>
          </cell>
          <cell r="BH1">
            <v>41548</v>
          </cell>
          <cell r="BI1">
            <v>41567</v>
          </cell>
          <cell r="BJ1">
            <v>41579</v>
          </cell>
          <cell r="BK1">
            <v>41598</v>
          </cell>
          <cell r="BL1">
            <v>41609</v>
          </cell>
          <cell r="BM1">
            <v>41628</v>
          </cell>
          <cell r="BN1">
            <v>41640</v>
          </cell>
          <cell r="BO1">
            <v>41659</v>
          </cell>
          <cell r="BP1">
            <v>41671</v>
          </cell>
          <cell r="BQ1">
            <v>41690</v>
          </cell>
          <cell r="BR1">
            <v>41699</v>
          </cell>
          <cell r="BS1">
            <v>41718</v>
          </cell>
          <cell r="BT1">
            <v>41730</v>
          </cell>
          <cell r="BU1">
            <v>41749</v>
          </cell>
          <cell r="BV1">
            <v>41760</v>
          </cell>
          <cell r="BW1">
            <v>41779</v>
          </cell>
          <cell r="BX1">
            <v>41791</v>
          </cell>
          <cell r="BY1">
            <v>41810</v>
          </cell>
          <cell r="BZ1">
            <v>41821</v>
          </cell>
          <cell r="CA1">
            <v>41840</v>
          </cell>
          <cell r="CB1">
            <v>41852</v>
          </cell>
          <cell r="CC1">
            <v>41871</v>
          </cell>
          <cell r="CD1">
            <v>41883</v>
          </cell>
          <cell r="CE1">
            <v>41902</v>
          </cell>
          <cell r="CF1">
            <v>41913</v>
          </cell>
          <cell r="CG1">
            <v>41932</v>
          </cell>
          <cell r="CH1">
            <v>41944</v>
          </cell>
          <cell r="CI1">
            <v>41963</v>
          </cell>
          <cell r="CJ1">
            <v>41974</v>
          </cell>
          <cell r="CK1">
            <v>41993</v>
          </cell>
          <cell r="CL1">
            <v>42005</v>
          </cell>
          <cell r="CM1">
            <v>42024</v>
          </cell>
          <cell r="CN1">
            <v>42036</v>
          </cell>
          <cell r="CO1">
            <v>42055</v>
          </cell>
          <cell r="CP1">
            <v>42064</v>
          </cell>
          <cell r="CQ1">
            <v>42083</v>
          </cell>
          <cell r="CR1">
            <v>42095</v>
          </cell>
          <cell r="CS1">
            <v>42114</v>
          </cell>
          <cell r="CT1">
            <v>42125</v>
          </cell>
          <cell r="CU1">
            <v>42144</v>
          </cell>
          <cell r="CV1">
            <v>42156</v>
          </cell>
          <cell r="CW1">
            <v>42175</v>
          </cell>
          <cell r="CX1">
            <v>42186</v>
          </cell>
          <cell r="CY1">
            <v>42205</v>
          </cell>
          <cell r="CZ1">
            <v>42217</v>
          </cell>
          <cell r="DA1">
            <v>42236</v>
          </cell>
          <cell r="DB1">
            <v>42248</v>
          </cell>
          <cell r="DC1">
            <v>42267</v>
          </cell>
          <cell r="DD1">
            <v>42278</v>
          </cell>
          <cell r="DE1">
            <v>42297</v>
          </cell>
          <cell r="DF1">
            <v>42309</v>
          </cell>
          <cell r="DG1">
            <v>42328</v>
          </cell>
          <cell r="DH1">
            <v>42339</v>
          </cell>
          <cell r="DI1">
            <v>42358</v>
          </cell>
          <cell r="DJ1">
            <v>42370</v>
          </cell>
          <cell r="DK1">
            <v>42389</v>
          </cell>
          <cell r="DL1">
            <v>42401</v>
          </cell>
          <cell r="DM1">
            <v>42420</v>
          </cell>
          <cell r="DN1">
            <v>42430</v>
          </cell>
          <cell r="DO1">
            <v>42449</v>
          </cell>
          <cell r="DP1">
            <v>42461</v>
          </cell>
          <cell r="DQ1">
            <v>42480</v>
          </cell>
          <cell r="DR1">
            <v>42491</v>
          </cell>
          <cell r="DS1">
            <v>42510</v>
          </cell>
          <cell r="DT1">
            <v>42522</v>
          </cell>
          <cell r="DU1">
            <v>42541</v>
          </cell>
          <cell r="DV1">
            <v>42552</v>
          </cell>
          <cell r="DW1">
            <v>42571</v>
          </cell>
          <cell r="DX1">
            <v>42583</v>
          </cell>
          <cell r="DY1">
            <v>42602</v>
          </cell>
          <cell r="DZ1">
            <v>42614</v>
          </cell>
          <cell r="EA1">
            <v>42633</v>
          </cell>
          <cell r="EB1">
            <v>42644</v>
          </cell>
          <cell r="EC1">
            <v>42663</v>
          </cell>
          <cell r="ED1">
            <v>42675</v>
          </cell>
          <cell r="EE1">
            <v>42694</v>
          </cell>
          <cell r="EF1">
            <v>42705</v>
          </cell>
          <cell r="EG1">
            <v>42724</v>
          </cell>
          <cell r="EH1">
            <v>42736</v>
          </cell>
          <cell r="EI1">
            <v>42755</v>
          </cell>
          <cell r="EJ1">
            <v>42767</v>
          </cell>
          <cell r="EK1">
            <v>42786</v>
          </cell>
          <cell r="EL1">
            <v>42795</v>
          </cell>
          <cell r="EM1">
            <v>42814</v>
          </cell>
          <cell r="EN1">
            <v>42826</v>
          </cell>
          <cell r="EO1">
            <v>42845</v>
          </cell>
          <cell r="EP1">
            <v>42856</v>
          </cell>
          <cell r="EQ1">
            <v>42875</v>
          </cell>
          <cell r="ER1">
            <v>42887</v>
          </cell>
          <cell r="ES1">
            <v>42906</v>
          </cell>
        </row>
      </sheetData>
      <sheetData sheetId="4">
        <row r="2">
          <cell r="B2" t="str">
            <v>I</v>
          </cell>
          <cell r="C2" t="str">
            <v>II</v>
          </cell>
          <cell r="D2" t="str">
            <v>III</v>
          </cell>
        </row>
        <row r="3">
          <cell r="B3">
            <v>0</v>
          </cell>
          <cell r="C3">
            <v>1</v>
          </cell>
          <cell r="D3">
            <v>2</v>
          </cell>
          <cell r="E3">
            <v>3</v>
          </cell>
          <cell r="F3">
            <v>4</v>
          </cell>
          <cell r="G3">
            <v>5</v>
          </cell>
        </row>
        <row r="4">
          <cell r="B4" t="str">
            <v>KNOP</v>
          </cell>
          <cell r="C4" t="str">
            <v>RYADY SOLDATENKOVA</v>
          </cell>
          <cell r="D4" t="str">
            <v>MESHERIN</v>
          </cell>
          <cell r="E4" t="str">
            <v>GASTELLO</v>
          </cell>
          <cell r="F4" t="str">
            <v>AZIMUT</v>
          </cell>
          <cell r="G4" t="str">
            <v>KONTORA KNOPA</v>
          </cell>
          <cell r="H4" t="str">
            <v>LOFT BURO</v>
          </cell>
          <cell r="I4" t="str">
            <v>BATISTOVYI</v>
          </cell>
          <cell r="J4" t="str">
            <v>SATINOVYI</v>
          </cell>
          <cell r="K4" t="str">
            <v>1B w/Name</v>
          </cell>
          <cell r="L4" t="str">
            <v>LITEIKA</v>
          </cell>
          <cell r="M4" t="str">
            <v>SITCEVYI</v>
          </cell>
          <cell r="N4" t="str">
            <v>PK6 Restoran</v>
          </cell>
          <cell r="O4">
            <v>12</v>
          </cell>
          <cell r="P4">
            <v>2</v>
          </cell>
          <cell r="Q4" t="str">
            <v>FLANELEVYI</v>
          </cell>
          <cell r="R4" t="str">
            <v>GOLLANDSKIE DOMIKI</v>
          </cell>
          <cell r="S4">
            <v>6</v>
          </cell>
          <cell r="T4">
            <v>7</v>
          </cell>
          <cell r="U4" t="str">
            <v>8 Restoran</v>
          </cell>
          <cell r="V4">
            <v>9</v>
          </cell>
        </row>
        <row r="7">
          <cell r="B7">
            <v>-4</v>
          </cell>
          <cell r="C7">
            <v>-3</v>
          </cell>
          <cell r="D7">
            <v>-2</v>
          </cell>
          <cell r="E7">
            <v>-1</v>
          </cell>
          <cell r="F7">
            <v>1</v>
          </cell>
          <cell r="G7">
            <v>2</v>
          </cell>
          <cell r="H7">
            <v>3</v>
          </cell>
          <cell r="I7">
            <v>4</v>
          </cell>
          <cell r="J7">
            <v>5</v>
          </cell>
          <cell r="K7">
            <v>6</v>
          </cell>
          <cell r="L7">
            <v>7</v>
          </cell>
          <cell r="M7">
            <v>8</v>
          </cell>
          <cell r="N7">
            <v>9</v>
          </cell>
          <cell r="O7">
            <v>10</v>
          </cell>
          <cell r="P7">
            <v>11</v>
          </cell>
          <cell r="Q7">
            <v>12</v>
          </cell>
          <cell r="R7">
            <v>13</v>
          </cell>
          <cell r="S7">
            <v>14</v>
          </cell>
          <cell r="T7">
            <v>15</v>
          </cell>
          <cell r="U7">
            <v>16</v>
          </cell>
          <cell r="V7">
            <v>17</v>
          </cell>
          <cell r="W7">
            <v>18</v>
          </cell>
          <cell r="X7">
            <v>19</v>
          </cell>
          <cell r="Y7">
            <v>20</v>
          </cell>
          <cell r="Z7">
            <v>21</v>
          </cell>
          <cell r="AA7">
            <v>22</v>
          </cell>
          <cell r="AB7">
            <v>23</v>
          </cell>
          <cell r="AC7">
            <v>24</v>
          </cell>
          <cell r="AD7">
            <v>25</v>
          </cell>
          <cell r="AE7">
            <v>26</v>
          </cell>
          <cell r="AF7">
            <v>27</v>
          </cell>
          <cell r="AG7">
            <v>28</v>
          </cell>
          <cell r="AH7">
            <v>29</v>
          </cell>
          <cell r="AI7">
            <v>30</v>
          </cell>
        </row>
        <row r="8">
          <cell r="B8" t="str">
            <v>USD</v>
          </cell>
          <cell r="C8" t="str">
            <v>RUR</v>
          </cell>
          <cell r="D8" t="str">
            <v>EURO</v>
          </cell>
        </row>
        <row r="9">
          <cell r="B9" t="str">
            <v>да</v>
          </cell>
          <cell r="C9" t="str">
            <v>нет</v>
          </cell>
        </row>
        <row r="11">
          <cell r="B11" t="str">
            <v>нет</v>
          </cell>
          <cell r="C11">
            <v>20.010000000000002</v>
          </cell>
          <cell r="D11">
            <v>20.02</v>
          </cell>
          <cell r="E11">
            <v>20.03</v>
          </cell>
          <cell r="F11">
            <v>20.04</v>
          </cell>
          <cell r="G11">
            <v>20.05</v>
          </cell>
          <cell r="H11">
            <v>20.059999999999999</v>
          </cell>
          <cell r="I11">
            <v>20.07</v>
          </cell>
          <cell r="J11">
            <v>20.079999999999998</v>
          </cell>
          <cell r="K11">
            <v>20.09</v>
          </cell>
          <cell r="L11">
            <v>20.100000000000001</v>
          </cell>
          <cell r="M11">
            <v>20.11</v>
          </cell>
          <cell r="N11">
            <v>20.12</v>
          </cell>
          <cell r="O11">
            <v>20.13</v>
          </cell>
          <cell r="P11">
            <v>20.14</v>
          </cell>
          <cell r="Q11">
            <v>20.149999999999999</v>
          </cell>
          <cell r="R11">
            <v>20.16</v>
          </cell>
          <cell r="S11">
            <v>20.170000000000002</v>
          </cell>
          <cell r="T11">
            <v>20.18</v>
          </cell>
          <cell r="U11">
            <v>20.190000000000001</v>
          </cell>
          <cell r="V11">
            <v>20.2</v>
          </cell>
          <cell r="W11">
            <v>20.21</v>
          </cell>
          <cell r="X11">
            <v>20.22</v>
          </cell>
          <cell r="Y11">
            <v>20.23</v>
          </cell>
          <cell r="Z11">
            <v>20.239999999999998</v>
          </cell>
          <cell r="AA11">
            <v>20.25</v>
          </cell>
          <cell r="AB11">
            <v>20.260000000000002</v>
          </cell>
          <cell r="AC11">
            <v>20.27</v>
          </cell>
          <cell r="AD11">
            <v>20.28</v>
          </cell>
          <cell r="AE11">
            <v>20.29</v>
          </cell>
          <cell r="AF11">
            <v>20.3</v>
          </cell>
          <cell r="AG11">
            <v>20.309999999999999</v>
          </cell>
          <cell r="AH11">
            <v>20.32</v>
          </cell>
          <cell r="AI11">
            <v>20.329999999999998</v>
          </cell>
          <cell r="AJ11">
            <v>20.34</v>
          </cell>
          <cell r="AK11">
            <v>20.350000000000001</v>
          </cell>
          <cell r="AL11">
            <v>20.36</v>
          </cell>
          <cell r="AM11">
            <v>20.37</v>
          </cell>
          <cell r="AN11">
            <v>20.38</v>
          </cell>
          <cell r="AO11">
            <v>20.39</v>
          </cell>
          <cell r="AP11">
            <v>20.399999999999999</v>
          </cell>
          <cell r="AQ11">
            <v>20.41</v>
          </cell>
          <cell r="AR11">
            <v>20.420000000000002</v>
          </cell>
          <cell r="AS11">
            <v>20.43</v>
          </cell>
          <cell r="AT11">
            <v>20.440000000000001</v>
          </cell>
          <cell r="AU11">
            <v>20.45</v>
          </cell>
          <cell r="AV11">
            <v>20.46</v>
          </cell>
          <cell r="AW11">
            <v>20.47</v>
          </cell>
          <cell r="AX11">
            <v>20.48</v>
          </cell>
          <cell r="AY11">
            <v>20.49</v>
          </cell>
          <cell r="AZ11">
            <v>20.5</v>
          </cell>
          <cell r="BA11">
            <v>20.51</v>
          </cell>
          <cell r="BB11">
            <v>20.52</v>
          </cell>
          <cell r="BC11">
            <v>20.53</v>
          </cell>
          <cell r="BD11">
            <v>20.54</v>
          </cell>
          <cell r="BE11">
            <v>20.55</v>
          </cell>
          <cell r="BF11">
            <v>20.56</v>
          </cell>
          <cell r="BG11">
            <v>20.57</v>
          </cell>
          <cell r="BH11">
            <v>20.58</v>
          </cell>
          <cell r="BI11">
            <v>20.59</v>
          </cell>
          <cell r="BJ11">
            <v>20.6</v>
          </cell>
          <cell r="BK11">
            <v>20.61</v>
          </cell>
          <cell r="BL11">
            <v>20.62</v>
          </cell>
          <cell r="BM11">
            <v>20.63</v>
          </cell>
          <cell r="BN11">
            <v>20.64</v>
          </cell>
          <cell r="BO11">
            <v>20.65</v>
          </cell>
          <cell r="BP11">
            <v>20.66</v>
          </cell>
          <cell r="BQ11">
            <v>20.67</v>
          </cell>
          <cell r="BR11">
            <v>20.68</v>
          </cell>
          <cell r="BS11">
            <v>20.69</v>
          </cell>
          <cell r="BT11">
            <v>20.7</v>
          </cell>
          <cell r="BU11">
            <v>20.71</v>
          </cell>
          <cell r="BV11">
            <v>20.72</v>
          </cell>
          <cell r="BW11">
            <v>20.73</v>
          </cell>
          <cell r="BX11">
            <v>20.74</v>
          </cell>
          <cell r="BY11">
            <v>20.75</v>
          </cell>
          <cell r="BZ11">
            <v>20.76</v>
          </cell>
          <cell r="CA11">
            <v>20.77</v>
          </cell>
          <cell r="CB11">
            <v>20.78</v>
          </cell>
          <cell r="CC11">
            <v>20.79</v>
          </cell>
          <cell r="CD11">
            <v>20.8</v>
          </cell>
          <cell r="CE11">
            <v>20.81</v>
          </cell>
          <cell r="CF11">
            <v>20.82</v>
          </cell>
          <cell r="CG11">
            <v>20.83</v>
          </cell>
          <cell r="CH11">
            <v>20.84</v>
          </cell>
          <cell r="CI11">
            <v>20.85</v>
          </cell>
          <cell r="CJ11">
            <v>20.86</v>
          </cell>
          <cell r="CK11">
            <v>20.87</v>
          </cell>
          <cell r="CL11">
            <v>20.88</v>
          </cell>
          <cell r="CM11">
            <v>20.89</v>
          </cell>
          <cell r="CN11">
            <v>20.9</v>
          </cell>
          <cell r="CO11">
            <v>20.91</v>
          </cell>
          <cell r="CP11">
            <v>20.92</v>
          </cell>
          <cell r="CQ11">
            <v>20.93</v>
          </cell>
          <cell r="CR11">
            <v>20.94</v>
          </cell>
          <cell r="CS11">
            <v>20.95</v>
          </cell>
          <cell r="CT11">
            <v>20.96</v>
          </cell>
          <cell r="CU11">
            <v>20.97</v>
          </cell>
          <cell r="CV11">
            <v>20.98</v>
          </cell>
          <cell r="CW11">
            <v>20.99</v>
          </cell>
          <cell r="CX11">
            <v>21</v>
          </cell>
          <cell r="CY11">
            <v>21.01</v>
          </cell>
          <cell r="CZ11">
            <v>21.02</v>
          </cell>
          <cell r="DA11">
            <v>21.03</v>
          </cell>
          <cell r="DB11">
            <v>21.04</v>
          </cell>
          <cell r="DC11">
            <v>21.05</v>
          </cell>
          <cell r="DD11">
            <v>21.06</v>
          </cell>
          <cell r="DE11">
            <v>21.07</v>
          </cell>
          <cell r="DF11">
            <v>21.08</v>
          </cell>
          <cell r="DG11">
            <v>21.09</v>
          </cell>
          <cell r="DH11">
            <v>21.1</v>
          </cell>
          <cell r="DI11">
            <v>21.11</v>
          </cell>
          <cell r="DJ11">
            <v>21.12</v>
          </cell>
          <cell r="DK11">
            <v>21.13</v>
          </cell>
          <cell r="DL11">
            <v>21.14</v>
          </cell>
          <cell r="DM11">
            <v>21.15</v>
          </cell>
          <cell r="DN11">
            <v>21.16</v>
          </cell>
          <cell r="DO11">
            <v>21.17</v>
          </cell>
          <cell r="DP11">
            <v>21.18</v>
          </cell>
          <cell r="DQ11">
            <v>21.19</v>
          </cell>
          <cell r="DR11">
            <v>21.2</v>
          </cell>
          <cell r="DS11">
            <v>21.21</v>
          </cell>
          <cell r="DT11">
            <v>21.22</v>
          </cell>
          <cell r="DU11">
            <v>21.23</v>
          </cell>
          <cell r="DV11">
            <v>21.24</v>
          </cell>
          <cell r="DW11">
            <v>21.25</v>
          </cell>
          <cell r="DX11">
            <v>21.26</v>
          </cell>
          <cell r="DY11">
            <v>21.27</v>
          </cell>
          <cell r="DZ11">
            <v>21.28</v>
          </cell>
          <cell r="EA11">
            <v>21.29</v>
          </cell>
          <cell r="EB11">
            <v>21.3</v>
          </cell>
          <cell r="EC11">
            <v>21.31</v>
          </cell>
          <cell r="ED11">
            <v>21.32</v>
          </cell>
          <cell r="EE11">
            <v>21.33</v>
          </cell>
          <cell r="EF11">
            <v>21.34</v>
          </cell>
          <cell r="EG11">
            <v>21.35</v>
          </cell>
          <cell r="EH11">
            <v>21.36</v>
          </cell>
          <cell r="EI11">
            <v>21.37</v>
          </cell>
          <cell r="EJ11">
            <v>21.38</v>
          </cell>
          <cell r="EK11">
            <v>21.39</v>
          </cell>
          <cell r="EL11">
            <v>21.4</v>
          </cell>
          <cell r="EM11">
            <v>21.41</v>
          </cell>
          <cell r="EN11">
            <v>21.42</v>
          </cell>
          <cell r="EO11">
            <v>21.43</v>
          </cell>
          <cell r="EP11">
            <v>21.44</v>
          </cell>
          <cell r="EQ11">
            <v>21.45</v>
          </cell>
          <cell r="ER11">
            <v>21.46</v>
          </cell>
          <cell r="ES11">
            <v>21.47</v>
          </cell>
          <cell r="ET11">
            <v>21.48</v>
          </cell>
          <cell r="EU11">
            <v>21.49</v>
          </cell>
          <cell r="EV11">
            <v>21.5</v>
          </cell>
          <cell r="EW11">
            <v>21.51</v>
          </cell>
          <cell r="EX11">
            <v>21.52</v>
          </cell>
          <cell r="EY11">
            <v>21.53</v>
          </cell>
          <cell r="EZ11">
            <v>21.54</v>
          </cell>
          <cell r="FA11">
            <v>21.55</v>
          </cell>
          <cell r="FB11">
            <v>21.56</v>
          </cell>
          <cell r="FC11">
            <v>21.57</v>
          </cell>
          <cell r="FD11">
            <v>21.58</v>
          </cell>
          <cell r="FE11">
            <v>21.59</v>
          </cell>
          <cell r="FF11">
            <v>21.6</v>
          </cell>
          <cell r="FG11">
            <v>21.61</v>
          </cell>
          <cell r="FH11">
            <v>21.62</v>
          </cell>
          <cell r="FI11">
            <v>21.63</v>
          </cell>
          <cell r="FJ11">
            <v>21.64</v>
          </cell>
          <cell r="FK11">
            <v>21.65</v>
          </cell>
          <cell r="FL11">
            <v>21.66</v>
          </cell>
          <cell r="FM11">
            <v>21.67</v>
          </cell>
          <cell r="FN11">
            <v>21.68</v>
          </cell>
          <cell r="FO11">
            <v>21.69</v>
          </cell>
          <cell r="FP11">
            <v>21.7</v>
          </cell>
          <cell r="FQ11">
            <v>21.71</v>
          </cell>
          <cell r="FR11">
            <v>21.72</v>
          </cell>
          <cell r="FS11">
            <v>21.73</v>
          </cell>
          <cell r="FT11">
            <v>21.74</v>
          </cell>
          <cell r="FU11">
            <v>21.75</v>
          </cell>
          <cell r="FV11">
            <v>21.76</v>
          </cell>
          <cell r="FW11">
            <v>21.77</v>
          </cell>
          <cell r="FX11">
            <v>21.78</v>
          </cell>
          <cell r="FY11">
            <v>21.79</v>
          </cell>
          <cell r="FZ11">
            <v>21.8</v>
          </cell>
          <cell r="GA11">
            <v>21.81</v>
          </cell>
          <cell r="GB11">
            <v>21.82</v>
          </cell>
          <cell r="GC11">
            <v>21.83</v>
          </cell>
          <cell r="GD11">
            <v>21.84</v>
          </cell>
          <cell r="GE11">
            <v>21.85</v>
          </cell>
          <cell r="GF11">
            <v>21.86</v>
          </cell>
          <cell r="GG11">
            <v>21.87</v>
          </cell>
          <cell r="GH11">
            <v>21.88</v>
          </cell>
          <cell r="GI11">
            <v>21.89</v>
          </cell>
          <cell r="GJ11">
            <v>21.9</v>
          </cell>
          <cell r="GK11">
            <v>21.91</v>
          </cell>
          <cell r="GL11">
            <v>21.92</v>
          </cell>
          <cell r="GM11">
            <v>21.93</v>
          </cell>
          <cell r="GN11">
            <v>21.94</v>
          </cell>
          <cell r="GO11">
            <v>21.95</v>
          </cell>
          <cell r="GP11">
            <v>21.96</v>
          </cell>
          <cell r="GQ11">
            <v>21.97</v>
          </cell>
          <cell r="GR11">
            <v>21.98</v>
          </cell>
          <cell r="GS11">
            <v>21.99</v>
          </cell>
          <cell r="GT11">
            <v>22</v>
          </cell>
          <cell r="GU11">
            <v>22.01</v>
          </cell>
          <cell r="GV11">
            <v>22.02</v>
          </cell>
          <cell r="GW11">
            <v>22.03</v>
          </cell>
          <cell r="GX11">
            <v>22.04</v>
          </cell>
          <cell r="GY11">
            <v>22.05</v>
          </cell>
          <cell r="GZ11">
            <v>22.06</v>
          </cell>
          <cell r="HA11">
            <v>22.07</v>
          </cell>
          <cell r="HB11">
            <v>22.08</v>
          </cell>
          <cell r="HC11">
            <v>22.09</v>
          </cell>
          <cell r="HD11">
            <v>22.1</v>
          </cell>
          <cell r="HE11">
            <v>22.11</v>
          </cell>
          <cell r="HF11">
            <v>22.12</v>
          </cell>
          <cell r="HG11">
            <v>22.13</v>
          </cell>
          <cell r="HH11">
            <v>22.14</v>
          </cell>
          <cell r="HI11">
            <v>22.15</v>
          </cell>
          <cell r="HJ11">
            <v>22.16</v>
          </cell>
          <cell r="HK11">
            <v>22.17</v>
          </cell>
          <cell r="HL11">
            <v>22.18</v>
          </cell>
          <cell r="HM11">
            <v>22.19</v>
          </cell>
          <cell r="HN11">
            <v>22.2</v>
          </cell>
          <cell r="HO11">
            <v>22.21</v>
          </cell>
          <cell r="HP11">
            <v>22.22</v>
          </cell>
          <cell r="HQ11">
            <v>22.23</v>
          </cell>
          <cell r="HR11">
            <v>22.24</v>
          </cell>
          <cell r="HS11">
            <v>22.25</v>
          </cell>
          <cell r="HT11">
            <v>22.26</v>
          </cell>
          <cell r="HU11">
            <v>22.27</v>
          </cell>
          <cell r="HV11">
            <v>22.28</v>
          </cell>
          <cell r="HW11">
            <v>22.29</v>
          </cell>
          <cell r="HX11">
            <v>22.3</v>
          </cell>
          <cell r="HY11">
            <v>22.31</v>
          </cell>
          <cell r="HZ11">
            <v>22.32</v>
          </cell>
          <cell r="IA11">
            <v>22.33</v>
          </cell>
          <cell r="IB11">
            <v>22.34</v>
          </cell>
          <cell r="IC11">
            <v>22.35</v>
          </cell>
          <cell r="ID11">
            <v>22.36</v>
          </cell>
          <cell r="IE11">
            <v>22.37</v>
          </cell>
          <cell r="IF11">
            <v>22.38</v>
          </cell>
          <cell r="IG11">
            <v>22.39</v>
          </cell>
          <cell r="IH11">
            <v>22.4</v>
          </cell>
          <cell r="II11">
            <v>22.41</v>
          </cell>
          <cell r="IJ11">
            <v>22.42</v>
          </cell>
          <cell r="IK11">
            <v>22.43</v>
          </cell>
          <cell r="IL11">
            <v>22.44</v>
          </cell>
          <cell r="IM11">
            <v>22.45</v>
          </cell>
          <cell r="IN11">
            <v>22.46</v>
          </cell>
          <cell r="IO11">
            <v>22.47</v>
          </cell>
          <cell r="IP11">
            <v>22.48</v>
          </cell>
          <cell r="IQ11">
            <v>22.49</v>
          </cell>
          <cell r="IR11">
            <v>22.5</v>
          </cell>
          <cell r="IS11">
            <v>22.51</v>
          </cell>
          <cell r="IT11">
            <v>22.52</v>
          </cell>
          <cell r="IU11">
            <v>22.53</v>
          </cell>
          <cell r="IV11">
            <v>22.54</v>
          </cell>
          <cell r="IW11">
            <v>22.55</v>
          </cell>
          <cell r="IX11">
            <v>22.56</v>
          </cell>
          <cell r="IY11">
            <v>22.57</v>
          </cell>
          <cell r="IZ11">
            <v>22.58</v>
          </cell>
          <cell r="JA11">
            <v>22.59</v>
          </cell>
          <cell r="JB11">
            <v>22.6</v>
          </cell>
          <cell r="JC11">
            <v>22.61</v>
          </cell>
          <cell r="JD11">
            <v>22.62</v>
          </cell>
          <cell r="JE11">
            <v>22.63</v>
          </cell>
          <cell r="JF11">
            <v>22.64</v>
          </cell>
          <cell r="JG11">
            <v>22.65</v>
          </cell>
          <cell r="JH11">
            <v>22.66</v>
          </cell>
          <cell r="JI11">
            <v>22.67</v>
          </cell>
          <cell r="JJ11">
            <v>22.68</v>
          </cell>
          <cell r="JK11">
            <v>22.69</v>
          </cell>
          <cell r="JL11">
            <v>22.7</v>
          </cell>
          <cell r="JM11">
            <v>22.71</v>
          </cell>
          <cell r="JN11">
            <v>22.72</v>
          </cell>
          <cell r="JO11">
            <v>22.73</v>
          </cell>
          <cell r="JP11">
            <v>22.74</v>
          </cell>
          <cell r="JQ11">
            <v>22.75</v>
          </cell>
          <cell r="JR11">
            <v>22.76</v>
          </cell>
          <cell r="JS11">
            <v>22.77</v>
          </cell>
          <cell r="JT11">
            <v>22.78</v>
          </cell>
          <cell r="JU11">
            <v>22.79</v>
          </cell>
          <cell r="JV11">
            <v>22.8</v>
          </cell>
          <cell r="JW11">
            <v>22.81</v>
          </cell>
          <cell r="JX11">
            <v>22.82</v>
          </cell>
          <cell r="JY11">
            <v>22.83</v>
          </cell>
          <cell r="JZ11">
            <v>22.84</v>
          </cell>
          <cell r="KA11">
            <v>22.85</v>
          </cell>
          <cell r="KB11">
            <v>22.86</v>
          </cell>
          <cell r="KC11">
            <v>22.87</v>
          </cell>
          <cell r="KD11">
            <v>22.88</v>
          </cell>
          <cell r="KE11">
            <v>22.89</v>
          </cell>
          <cell r="KF11">
            <v>22.9</v>
          </cell>
          <cell r="KG11">
            <v>22.91</v>
          </cell>
          <cell r="KH11">
            <v>22.92</v>
          </cell>
          <cell r="KI11">
            <v>22.93</v>
          </cell>
          <cell r="KJ11">
            <v>22.94</v>
          </cell>
          <cell r="KK11">
            <v>22.95</v>
          </cell>
          <cell r="KL11">
            <v>22.96</v>
          </cell>
          <cell r="KM11">
            <v>22.97</v>
          </cell>
          <cell r="KN11">
            <v>22.98</v>
          </cell>
          <cell r="KO11">
            <v>22.99</v>
          </cell>
          <cell r="KP11">
            <v>23</v>
          </cell>
          <cell r="KQ11">
            <v>23.01</v>
          </cell>
          <cell r="KR11">
            <v>23.02</v>
          </cell>
          <cell r="KS11">
            <v>23.03</v>
          </cell>
          <cell r="KT11">
            <v>23.04</v>
          </cell>
          <cell r="KU11">
            <v>23.05</v>
          </cell>
          <cell r="KV11">
            <v>23.06</v>
          </cell>
          <cell r="KW11">
            <v>23.07</v>
          </cell>
          <cell r="KX11">
            <v>23.08</v>
          </cell>
          <cell r="KY11">
            <v>23.09</v>
          </cell>
          <cell r="KZ11">
            <v>23.1</v>
          </cell>
          <cell r="LA11">
            <v>23.11</v>
          </cell>
          <cell r="LB11">
            <v>23.12</v>
          </cell>
          <cell r="LC11">
            <v>23.13</v>
          </cell>
          <cell r="LD11">
            <v>23.14</v>
          </cell>
          <cell r="LE11">
            <v>23.15</v>
          </cell>
          <cell r="LF11">
            <v>23.16</v>
          </cell>
          <cell r="LG11">
            <v>23.17</v>
          </cell>
          <cell r="LH11">
            <v>23.18</v>
          </cell>
          <cell r="LI11">
            <v>23.19</v>
          </cell>
          <cell r="LJ11">
            <v>23.2</v>
          </cell>
          <cell r="LK11">
            <v>23.21</v>
          </cell>
          <cell r="LL11">
            <v>23.22</v>
          </cell>
          <cell r="LM11">
            <v>23.23</v>
          </cell>
          <cell r="LN11">
            <v>23.24</v>
          </cell>
          <cell r="LO11">
            <v>23.25</v>
          </cell>
          <cell r="LP11">
            <v>23.26</v>
          </cell>
          <cell r="LQ11">
            <v>23.27</v>
          </cell>
          <cell r="LR11">
            <v>23.28</v>
          </cell>
          <cell r="LS11">
            <v>23.29</v>
          </cell>
          <cell r="LT11">
            <v>23.3</v>
          </cell>
          <cell r="LU11">
            <v>23.31</v>
          </cell>
          <cell r="LV11">
            <v>23.32</v>
          </cell>
          <cell r="LW11">
            <v>23.33</v>
          </cell>
          <cell r="LX11">
            <v>23.34</v>
          </cell>
          <cell r="LY11">
            <v>23.35</v>
          </cell>
          <cell r="LZ11">
            <v>23.36</v>
          </cell>
          <cell r="MA11">
            <v>23.37</v>
          </cell>
          <cell r="MB11">
            <v>23.38</v>
          </cell>
          <cell r="MC11">
            <v>23.39</v>
          </cell>
          <cell r="MD11">
            <v>23.4</v>
          </cell>
          <cell r="ME11">
            <v>23.41</v>
          </cell>
          <cell r="MF11">
            <v>23.42</v>
          </cell>
          <cell r="MG11">
            <v>23.43</v>
          </cell>
          <cell r="MH11">
            <v>23.44</v>
          </cell>
          <cell r="MI11">
            <v>23.45</v>
          </cell>
          <cell r="MJ11">
            <v>23.46</v>
          </cell>
          <cell r="MK11">
            <v>23.47</v>
          </cell>
          <cell r="ML11">
            <v>23.48</v>
          </cell>
          <cell r="MM11">
            <v>23.49</v>
          </cell>
          <cell r="MN11">
            <v>23.5</v>
          </cell>
          <cell r="MO11">
            <v>23.51</v>
          </cell>
          <cell r="MP11">
            <v>23.52</v>
          </cell>
          <cell r="MQ11">
            <v>23.53</v>
          </cell>
          <cell r="MR11">
            <v>23.54</v>
          </cell>
          <cell r="MS11">
            <v>23.55</v>
          </cell>
          <cell r="MT11">
            <v>23.56</v>
          </cell>
          <cell r="MU11">
            <v>23.57</v>
          </cell>
          <cell r="MV11">
            <v>23.58</v>
          </cell>
          <cell r="MW11">
            <v>23.59</v>
          </cell>
          <cell r="MX11">
            <v>23.6</v>
          </cell>
          <cell r="MY11">
            <v>23.61</v>
          </cell>
          <cell r="MZ11">
            <v>23.62</v>
          </cell>
          <cell r="NA11">
            <v>23.63</v>
          </cell>
          <cell r="NB11">
            <v>23.64</v>
          </cell>
          <cell r="NC11">
            <v>23.65</v>
          </cell>
          <cell r="ND11">
            <v>23.66</v>
          </cell>
          <cell r="NE11">
            <v>23.67</v>
          </cell>
          <cell r="NF11">
            <v>23.68</v>
          </cell>
          <cell r="NG11">
            <v>23.69</v>
          </cell>
          <cell r="NH11">
            <v>23.7</v>
          </cell>
          <cell r="NI11">
            <v>23.71</v>
          </cell>
          <cell r="NJ11">
            <v>23.72</v>
          </cell>
          <cell r="NK11">
            <v>23.73</v>
          </cell>
          <cell r="NL11">
            <v>23.74</v>
          </cell>
          <cell r="NM11">
            <v>23.75</v>
          </cell>
          <cell r="NN11">
            <v>23.76</v>
          </cell>
          <cell r="NO11">
            <v>23.77</v>
          </cell>
          <cell r="NP11">
            <v>23.78</v>
          </cell>
          <cell r="NQ11">
            <v>23.79</v>
          </cell>
          <cell r="NR11">
            <v>23.8</v>
          </cell>
          <cell r="NS11">
            <v>23.81</v>
          </cell>
          <cell r="NT11">
            <v>23.82</v>
          </cell>
          <cell r="NU11">
            <v>23.83</v>
          </cell>
          <cell r="NV11">
            <v>23.84</v>
          </cell>
          <cell r="NW11">
            <v>23.85</v>
          </cell>
          <cell r="NX11">
            <v>23.86</v>
          </cell>
          <cell r="NY11">
            <v>23.87</v>
          </cell>
          <cell r="NZ11">
            <v>23.88</v>
          </cell>
          <cell r="OA11">
            <v>23.89</v>
          </cell>
          <cell r="OB11">
            <v>23.9</v>
          </cell>
          <cell r="OC11">
            <v>23.91</v>
          </cell>
          <cell r="OD11">
            <v>23.92</v>
          </cell>
          <cell r="OE11">
            <v>23.93</v>
          </cell>
          <cell r="OF11">
            <v>23.94</v>
          </cell>
          <cell r="OG11">
            <v>23.95</v>
          </cell>
          <cell r="OH11">
            <v>23.96</v>
          </cell>
          <cell r="OI11">
            <v>23.97</v>
          </cell>
          <cell r="OJ11">
            <v>23.98</v>
          </cell>
          <cell r="OK11">
            <v>23.99</v>
          </cell>
          <cell r="OL11">
            <v>24</v>
          </cell>
          <cell r="OM11">
            <v>24.01</v>
          </cell>
          <cell r="ON11">
            <v>24.02</v>
          </cell>
          <cell r="OO11">
            <v>24.03</v>
          </cell>
          <cell r="OP11">
            <v>24.04</v>
          </cell>
          <cell r="OQ11">
            <v>24.05</v>
          </cell>
          <cell r="OR11">
            <v>24.06</v>
          </cell>
          <cell r="OS11">
            <v>24.07</v>
          </cell>
          <cell r="OT11">
            <v>24.08</v>
          </cell>
          <cell r="OU11">
            <v>24.09</v>
          </cell>
          <cell r="OV11">
            <v>24.1</v>
          </cell>
          <cell r="OW11">
            <v>24.11</v>
          </cell>
          <cell r="OX11">
            <v>24.12</v>
          </cell>
          <cell r="OY11">
            <v>24.13</v>
          </cell>
          <cell r="OZ11">
            <v>24.14</v>
          </cell>
          <cell r="PA11">
            <v>24.15</v>
          </cell>
          <cell r="PB11">
            <v>24.16</v>
          </cell>
          <cell r="PC11">
            <v>24.17</v>
          </cell>
          <cell r="PD11">
            <v>24.18</v>
          </cell>
          <cell r="PE11">
            <v>24.19</v>
          </cell>
          <cell r="PF11">
            <v>24.2</v>
          </cell>
          <cell r="PG11">
            <v>24.21</v>
          </cell>
          <cell r="PH11">
            <v>24.22</v>
          </cell>
          <cell r="PI11">
            <v>24.23</v>
          </cell>
          <cell r="PJ11">
            <v>24.24</v>
          </cell>
          <cell r="PK11">
            <v>24.25</v>
          </cell>
          <cell r="PL11">
            <v>24.26</v>
          </cell>
          <cell r="PM11">
            <v>24.27</v>
          </cell>
          <cell r="PN11">
            <v>24.28</v>
          </cell>
          <cell r="PO11">
            <v>24.29</v>
          </cell>
          <cell r="PP11">
            <v>24.3</v>
          </cell>
          <cell r="PQ11">
            <v>24.31</v>
          </cell>
          <cell r="PR11">
            <v>24.32</v>
          </cell>
          <cell r="PS11">
            <v>24.33</v>
          </cell>
          <cell r="PT11">
            <v>24.34</v>
          </cell>
          <cell r="PU11">
            <v>24.35</v>
          </cell>
          <cell r="PV11">
            <v>24.36</v>
          </cell>
          <cell r="PW11">
            <v>24.37</v>
          </cell>
          <cell r="PX11">
            <v>24.38</v>
          </cell>
          <cell r="PY11">
            <v>24.39</v>
          </cell>
          <cell r="PZ11">
            <v>24.4</v>
          </cell>
          <cell r="QA11">
            <v>24.41</v>
          </cell>
          <cell r="QB11">
            <v>24.42</v>
          </cell>
          <cell r="QC11">
            <v>24.43</v>
          </cell>
          <cell r="QD11">
            <v>24.44</v>
          </cell>
          <cell r="QE11">
            <v>24.45</v>
          </cell>
          <cell r="QF11">
            <v>24.46</v>
          </cell>
          <cell r="QG11">
            <v>24.47</v>
          </cell>
          <cell r="QH11">
            <v>24.48</v>
          </cell>
          <cell r="QI11">
            <v>24.49</v>
          </cell>
          <cell r="QJ11">
            <v>24.5</v>
          </cell>
          <cell r="QK11">
            <v>24.51</v>
          </cell>
          <cell r="QL11">
            <v>24.52</v>
          </cell>
          <cell r="QM11">
            <v>24.53</v>
          </cell>
          <cell r="QN11">
            <v>24.54</v>
          </cell>
          <cell r="QO11">
            <v>24.55</v>
          </cell>
          <cell r="QP11">
            <v>24.56</v>
          </cell>
          <cell r="QQ11">
            <v>24.57</v>
          </cell>
          <cell r="QR11">
            <v>24.58</v>
          </cell>
          <cell r="QS11">
            <v>24.59</v>
          </cell>
          <cell r="QT11">
            <v>24.6</v>
          </cell>
          <cell r="QU11">
            <v>24.61</v>
          </cell>
          <cell r="QV11">
            <v>24.62</v>
          </cell>
          <cell r="QW11">
            <v>24.63</v>
          </cell>
          <cell r="QX11">
            <v>24.64</v>
          </cell>
          <cell r="QY11">
            <v>24.65</v>
          </cell>
          <cell r="QZ11">
            <v>24.66</v>
          </cell>
          <cell r="RA11">
            <v>24.67</v>
          </cell>
          <cell r="RB11">
            <v>24.68</v>
          </cell>
          <cell r="RC11">
            <v>24.69</v>
          </cell>
          <cell r="RD11">
            <v>24.7</v>
          </cell>
          <cell r="RE11">
            <v>24.71</v>
          </cell>
          <cell r="RF11">
            <v>24.72</v>
          </cell>
          <cell r="RG11">
            <v>24.73</v>
          </cell>
          <cell r="RH11">
            <v>24.74</v>
          </cell>
          <cell r="RI11">
            <v>24.75</v>
          </cell>
          <cell r="RJ11">
            <v>24.76</v>
          </cell>
          <cell r="RK11">
            <v>24.77</v>
          </cell>
          <cell r="RL11">
            <v>24.78</v>
          </cell>
          <cell r="RM11">
            <v>24.79</v>
          </cell>
          <cell r="RN11">
            <v>24.8</v>
          </cell>
          <cell r="RO11">
            <v>24.81</v>
          </cell>
          <cell r="RP11">
            <v>24.82</v>
          </cell>
          <cell r="RQ11">
            <v>24.83</v>
          </cell>
          <cell r="RR11">
            <v>24.84</v>
          </cell>
          <cell r="RS11">
            <v>24.85</v>
          </cell>
          <cell r="RT11">
            <v>24.86</v>
          </cell>
          <cell r="RU11">
            <v>24.87</v>
          </cell>
          <cell r="RV11">
            <v>24.88</v>
          </cell>
          <cell r="RW11">
            <v>24.89</v>
          </cell>
          <cell r="RX11">
            <v>24.9</v>
          </cell>
          <cell r="RY11">
            <v>24.91</v>
          </cell>
          <cell r="RZ11">
            <v>24.92</v>
          </cell>
          <cell r="SA11">
            <v>24.93</v>
          </cell>
          <cell r="SB11">
            <v>24.94</v>
          </cell>
          <cell r="SC11">
            <v>24.95</v>
          </cell>
          <cell r="SD11">
            <v>24.96</v>
          </cell>
          <cell r="SE11">
            <v>24.97</v>
          </cell>
          <cell r="SF11">
            <v>24.98</v>
          </cell>
          <cell r="SG11">
            <v>24.99</v>
          </cell>
          <cell r="SH11">
            <v>25</v>
          </cell>
          <cell r="SI11">
            <v>25.01</v>
          </cell>
          <cell r="SJ11">
            <v>25.02</v>
          </cell>
          <cell r="SK11">
            <v>25.03</v>
          </cell>
          <cell r="SL11">
            <v>25.04</v>
          </cell>
          <cell r="SM11">
            <v>25.05</v>
          </cell>
          <cell r="SN11">
            <v>25.06</v>
          </cell>
          <cell r="SO11">
            <v>25.07</v>
          </cell>
          <cell r="SP11">
            <v>25.08</v>
          </cell>
          <cell r="SQ11">
            <v>25.09</v>
          </cell>
          <cell r="SR11">
            <v>25.1</v>
          </cell>
          <cell r="SS11">
            <v>25.11</v>
          </cell>
          <cell r="ST11">
            <v>25.12</v>
          </cell>
          <cell r="SU11">
            <v>25.13</v>
          </cell>
          <cell r="SV11">
            <v>25.14</v>
          </cell>
          <cell r="SW11">
            <v>25.15</v>
          </cell>
          <cell r="SX11">
            <v>25.16</v>
          </cell>
          <cell r="SY11">
            <v>25.17</v>
          </cell>
          <cell r="SZ11">
            <v>25.18</v>
          </cell>
          <cell r="TA11">
            <v>25.19</v>
          </cell>
          <cell r="TB11">
            <v>25.2</v>
          </cell>
          <cell r="TC11">
            <v>25.21</v>
          </cell>
          <cell r="TD11">
            <v>25.22</v>
          </cell>
          <cell r="TE11">
            <v>25.23</v>
          </cell>
          <cell r="TF11">
            <v>25.24</v>
          </cell>
          <cell r="TG11">
            <v>25.25</v>
          </cell>
          <cell r="TH11">
            <v>25.26</v>
          </cell>
          <cell r="TI11">
            <v>25.27</v>
          </cell>
          <cell r="TJ11">
            <v>25.28</v>
          </cell>
          <cell r="TK11">
            <v>25.29</v>
          </cell>
          <cell r="TL11">
            <v>25.3</v>
          </cell>
          <cell r="TM11">
            <v>25.31</v>
          </cell>
          <cell r="TN11">
            <v>25.32</v>
          </cell>
          <cell r="TO11">
            <v>25.33</v>
          </cell>
          <cell r="TP11">
            <v>25.34</v>
          </cell>
          <cell r="TQ11">
            <v>25.35</v>
          </cell>
          <cell r="TR11">
            <v>25.36</v>
          </cell>
          <cell r="TS11">
            <v>25.37</v>
          </cell>
          <cell r="TT11">
            <v>25.38</v>
          </cell>
          <cell r="TU11">
            <v>25.39</v>
          </cell>
          <cell r="TV11">
            <v>25.4</v>
          </cell>
          <cell r="TW11">
            <v>25.41</v>
          </cell>
          <cell r="TX11">
            <v>25.42</v>
          </cell>
          <cell r="TY11">
            <v>25.43</v>
          </cell>
          <cell r="TZ11">
            <v>25.44</v>
          </cell>
          <cell r="UA11">
            <v>25.45</v>
          </cell>
          <cell r="UB11">
            <v>25.46</v>
          </cell>
          <cell r="UC11">
            <v>25.47</v>
          </cell>
          <cell r="UD11">
            <v>25.48</v>
          </cell>
          <cell r="UE11">
            <v>25.49</v>
          </cell>
          <cell r="UF11">
            <v>25.5</v>
          </cell>
          <cell r="UG11">
            <v>25.51</v>
          </cell>
          <cell r="UH11">
            <v>25.52</v>
          </cell>
          <cell r="UI11">
            <v>25.53</v>
          </cell>
          <cell r="UJ11">
            <v>25.54</v>
          </cell>
          <cell r="UK11">
            <v>25.55</v>
          </cell>
          <cell r="UL11">
            <v>25.56</v>
          </cell>
          <cell r="UM11">
            <v>25.57</v>
          </cell>
          <cell r="UN11">
            <v>25.58</v>
          </cell>
          <cell r="UO11">
            <v>25.59</v>
          </cell>
          <cell r="UP11">
            <v>25.6</v>
          </cell>
          <cell r="UQ11">
            <v>25.61</v>
          </cell>
          <cell r="UR11">
            <v>25.62</v>
          </cell>
          <cell r="US11">
            <v>25.63</v>
          </cell>
          <cell r="UT11">
            <v>25.64</v>
          </cell>
          <cell r="UU11">
            <v>25.65</v>
          </cell>
          <cell r="UV11">
            <v>25.66</v>
          </cell>
          <cell r="UW11">
            <v>25.67</v>
          </cell>
          <cell r="UX11">
            <v>25.68</v>
          </cell>
          <cell r="UY11">
            <v>25.69</v>
          </cell>
          <cell r="UZ11">
            <v>25.7</v>
          </cell>
          <cell r="VA11">
            <v>25.71</v>
          </cell>
          <cell r="VB11">
            <v>25.72</v>
          </cell>
          <cell r="VC11">
            <v>25.73</v>
          </cell>
          <cell r="VD11">
            <v>25.74</v>
          </cell>
          <cell r="VE11">
            <v>25.75</v>
          </cell>
          <cell r="VF11">
            <v>25.76</v>
          </cell>
          <cell r="VG11">
            <v>25.77</v>
          </cell>
          <cell r="VH11">
            <v>25.78</v>
          </cell>
          <cell r="VI11">
            <v>25.79</v>
          </cell>
          <cell r="VJ11">
            <v>25.8</v>
          </cell>
          <cell r="VK11">
            <v>25.81</v>
          </cell>
          <cell r="VL11">
            <v>25.82</v>
          </cell>
          <cell r="VM11">
            <v>25.83</v>
          </cell>
          <cell r="VN11">
            <v>25.84</v>
          </cell>
          <cell r="VO11">
            <v>25.85</v>
          </cell>
          <cell r="VP11">
            <v>25.86</v>
          </cell>
          <cell r="VQ11">
            <v>25.87</v>
          </cell>
          <cell r="VR11">
            <v>25.88</v>
          </cell>
          <cell r="VS11">
            <v>25.89</v>
          </cell>
          <cell r="VT11">
            <v>25.9</v>
          </cell>
          <cell r="VU11">
            <v>25.91</v>
          </cell>
          <cell r="VV11">
            <v>25.92</v>
          </cell>
          <cell r="VW11">
            <v>25.93</v>
          </cell>
          <cell r="VX11">
            <v>25.94</v>
          </cell>
          <cell r="VY11">
            <v>25.95</v>
          </cell>
          <cell r="VZ11">
            <v>25.96</v>
          </cell>
          <cell r="WA11">
            <v>25.97</v>
          </cell>
          <cell r="WB11">
            <v>25.98</v>
          </cell>
          <cell r="WC11">
            <v>25.99</v>
          </cell>
          <cell r="WD11">
            <v>26</v>
          </cell>
          <cell r="WE11">
            <v>26.01</v>
          </cell>
          <cell r="WF11">
            <v>26.02</v>
          </cell>
          <cell r="WG11">
            <v>26.03</v>
          </cell>
          <cell r="WH11">
            <v>26.04</v>
          </cell>
          <cell r="WI11">
            <v>26.05</v>
          </cell>
          <cell r="WJ11">
            <v>26.06</v>
          </cell>
          <cell r="WK11">
            <v>26.07</v>
          </cell>
          <cell r="WL11">
            <v>26.08</v>
          </cell>
          <cell r="WM11">
            <v>26.09</v>
          </cell>
          <cell r="WN11">
            <v>26.1</v>
          </cell>
          <cell r="WO11">
            <v>26.11</v>
          </cell>
          <cell r="WP11">
            <v>26.12</v>
          </cell>
          <cell r="WQ11">
            <v>26.13</v>
          </cell>
          <cell r="WR11">
            <v>26.14</v>
          </cell>
          <cell r="WS11">
            <v>26.15</v>
          </cell>
          <cell r="WT11">
            <v>26.16</v>
          </cell>
          <cell r="WU11">
            <v>26.17</v>
          </cell>
          <cell r="WV11">
            <v>26.18</v>
          </cell>
          <cell r="WW11">
            <v>26.19</v>
          </cell>
          <cell r="WX11">
            <v>26.2</v>
          </cell>
          <cell r="WY11">
            <v>26.21</v>
          </cell>
          <cell r="WZ11">
            <v>26.22</v>
          </cell>
          <cell r="XA11">
            <v>26.23</v>
          </cell>
          <cell r="XB11">
            <v>26.24</v>
          </cell>
          <cell r="XC11">
            <v>26.25</v>
          </cell>
          <cell r="XD11">
            <v>26.26</v>
          </cell>
          <cell r="XE11">
            <v>26.27</v>
          </cell>
          <cell r="XF11">
            <v>26.28</v>
          </cell>
          <cell r="XG11">
            <v>26.29</v>
          </cell>
          <cell r="XH11">
            <v>26.3</v>
          </cell>
          <cell r="XI11">
            <v>26.31</v>
          </cell>
          <cell r="XJ11">
            <v>26.32</v>
          </cell>
          <cell r="XK11">
            <v>26.33</v>
          </cell>
          <cell r="XL11">
            <v>26.34</v>
          </cell>
          <cell r="XM11">
            <v>26.35</v>
          </cell>
          <cell r="XN11">
            <v>26.36</v>
          </cell>
          <cell r="XO11">
            <v>26.37</v>
          </cell>
          <cell r="XP11">
            <v>26.38</v>
          </cell>
          <cell r="XQ11">
            <v>26.39</v>
          </cell>
          <cell r="XR11">
            <v>26.4</v>
          </cell>
          <cell r="XS11">
            <v>26.41</v>
          </cell>
          <cell r="XT11">
            <v>26.42</v>
          </cell>
          <cell r="XU11">
            <v>26.43</v>
          </cell>
          <cell r="XV11">
            <v>26.44</v>
          </cell>
          <cell r="XW11">
            <v>26.45</v>
          </cell>
          <cell r="XX11">
            <v>26.46</v>
          </cell>
          <cell r="XY11">
            <v>26.47</v>
          </cell>
          <cell r="XZ11">
            <v>26.48</v>
          </cell>
          <cell r="YA11">
            <v>26.49</v>
          </cell>
          <cell r="YB11">
            <v>26.5</v>
          </cell>
          <cell r="YC11">
            <v>26.51</v>
          </cell>
          <cell r="YD11">
            <v>26.52</v>
          </cell>
          <cell r="YE11">
            <v>26.53</v>
          </cell>
          <cell r="YF11">
            <v>26.54</v>
          </cell>
          <cell r="YG11">
            <v>26.55</v>
          </cell>
          <cell r="YH11">
            <v>26.56</v>
          </cell>
          <cell r="YI11">
            <v>26.57</v>
          </cell>
          <cell r="YJ11">
            <v>26.58</v>
          </cell>
          <cell r="YK11">
            <v>26.59</v>
          </cell>
          <cell r="YL11">
            <v>26.6</v>
          </cell>
          <cell r="YM11">
            <v>26.61</v>
          </cell>
          <cell r="YN11">
            <v>26.62</v>
          </cell>
          <cell r="YO11">
            <v>26.63</v>
          </cell>
          <cell r="YP11">
            <v>26.64</v>
          </cell>
          <cell r="YQ11">
            <v>26.65</v>
          </cell>
          <cell r="YR11">
            <v>26.66</v>
          </cell>
          <cell r="YS11">
            <v>26.67</v>
          </cell>
          <cell r="YT11">
            <v>26.68</v>
          </cell>
          <cell r="YU11">
            <v>26.69</v>
          </cell>
          <cell r="YV11">
            <v>26.7</v>
          </cell>
          <cell r="YW11">
            <v>26.71</v>
          </cell>
          <cell r="YX11">
            <v>26.72</v>
          </cell>
          <cell r="YY11">
            <v>26.73</v>
          </cell>
          <cell r="YZ11">
            <v>26.74</v>
          </cell>
          <cell r="ZA11">
            <v>26.75</v>
          </cell>
          <cell r="ZB11">
            <v>26.76</v>
          </cell>
          <cell r="ZC11">
            <v>26.77</v>
          </cell>
          <cell r="ZD11">
            <v>26.78</v>
          </cell>
          <cell r="ZE11">
            <v>26.79</v>
          </cell>
          <cell r="ZF11">
            <v>26.8</v>
          </cell>
          <cell r="ZG11">
            <v>26.81</v>
          </cell>
          <cell r="ZH11">
            <v>26.82</v>
          </cell>
          <cell r="ZI11">
            <v>26.83</v>
          </cell>
          <cell r="ZJ11">
            <v>26.84</v>
          </cell>
          <cell r="ZK11">
            <v>26.85</v>
          </cell>
          <cell r="ZL11">
            <v>26.86</v>
          </cell>
          <cell r="ZM11">
            <v>26.87</v>
          </cell>
          <cell r="ZN11">
            <v>26.88</v>
          </cell>
          <cell r="ZO11">
            <v>26.89</v>
          </cell>
          <cell r="ZP11">
            <v>26.9</v>
          </cell>
          <cell r="ZQ11">
            <v>26.91</v>
          </cell>
          <cell r="ZR11">
            <v>26.92</v>
          </cell>
          <cell r="ZS11">
            <v>26.93</v>
          </cell>
          <cell r="ZT11">
            <v>26.94</v>
          </cell>
          <cell r="ZU11">
            <v>26.95</v>
          </cell>
          <cell r="ZV11">
            <v>26.96</v>
          </cell>
          <cell r="ZW11">
            <v>26.97</v>
          </cell>
          <cell r="ZX11">
            <v>26.98</v>
          </cell>
          <cell r="ZY11">
            <v>26.99</v>
          </cell>
          <cell r="ZZ11">
            <v>27</v>
          </cell>
          <cell r="AAA11">
            <v>27.01</v>
          </cell>
          <cell r="AAB11">
            <v>27.02</v>
          </cell>
          <cell r="AAC11">
            <v>27.03</v>
          </cell>
          <cell r="AAD11">
            <v>27.04</v>
          </cell>
          <cell r="AAE11">
            <v>27.05</v>
          </cell>
          <cell r="AAF11">
            <v>27.06</v>
          </cell>
          <cell r="AAG11">
            <v>27.07</v>
          </cell>
          <cell r="AAH11">
            <v>27.08</v>
          </cell>
          <cell r="AAI11">
            <v>27.09</v>
          </cell>
          <cell r="AAJ11">
            <v>27.1</v>
          </cell>
          <cell r="AAK11">
            <v>27.11</v>
          </cell>
          <cell r="AAL11">
            <v>27.12</v>
          </cell>
          <cell r="AAM11">
            <v>27.13</v>
          </cell>
          <cell r="AAN11">
            <v>27.14</v>
          </cell>
          <cell r="AAO11">
            <v>27.15</v>
          </cell>
          <cell r="AAP11">
            <v>27.16</v>
          </cell>
          <cell r="AAQ11">
            <v>27.17</v>
          </cell>
          <cell r="AAR11">
            <v>27.18</v>
          </cell>
          <cell r="AAS11">
            <v>27.19</v>
          </cell>
          <cell r="AAT11">
            <v>27.2</v>
          </cell>
          <cell r="AAU11">
            <v>27.21</v>
          </cell>
          <cell r="AAV11">
            <v>27.22</v>
          </cell>
          <cell r="AAW11">
            <v>27.23</v>
          </cell>
          <cell r="AAX11">
            <v>27.24</v>
          </cell>
          <cell r="AAY11">
            <v>27.25</v>
          </cell>
          <cell r="AAZ11">
            <v>27.26</v>
          </cell>
          <cell r="ABA11">
            <v>27.27</v>
          </cell>
          <cell r="ABB11">
            <v>27.28</v>
          </cell>
          <cell r="ABC11">
            <v>27.29</v>
          </cell>
          <cell r="ABD11">
            <v>27.3</v>
          </cell>
          <cell r="ABE11">
            <v>27.31</v>
          </cell>
          <cell r="ABF11">
            <v>27.32</v>
          </cell>
          <cell r="ABG11">
            <v>27.33</v>
          </cell>
          <cell r="ABH11">
            <v>27.34</v>
          </cell>
          <cell r="ABI11">
            <v>27.35</v>
          </cell>
          <cell r="ABJ11">
            <v>27.36</v>
          </cell>
          <cell r="ABK11">
            <v>27.37</v>
          </cell>
          <cell r="ABL11">
            <v>27.38</v>
          </cell>
          <cell r="ABM11">
            <v>27.39</v>
          </cell>
          <cell r="ABN11">
            <v>27.4</v>
          </cell>
          <cell r="ABO11">
            <v>27.41</v>
          </cell>
          <cell r="ABP11">
            <v>27.42</v>
          </cell>
          <cell r="ABQ11">
            <v>27.43</v>
          </cell>
          <cell r="ABR11">
            <v>27.44</v>
          </cell>
          <cell r="ABS11">
            <v>27.45</v>
          </cell>
          <cell r="ABT11">
            <v>27.46</v>
          </cell>
          <cell r="ABU11">
            <v>27.47</v>
          </cell>
          <cell r="ABV11">
            <v>27.48</v>
          </cell>
          <cell r="ABW11">
            <v>27.49</v>
          </cell>
          <cell r="ABX11">
            <v>27.5</v>
          </cell>
          <cell r="ABY11">
            <v>27.51</v>
          </cell>
          <cell r="ABZ11">
            <v>27.52</v>
          </cell>
          <cell r="ACA11">
            <v>27.53</v>
          </cell>
          <cell r="ACB11">
            <v>27.54</v>
          </cell>
          <cell r="ACC11">
            <v>27.55</v>
          </cell>
          <cell r="ACD11">
            <v>27.56</v>
          </cell>
          <cell r="ACE11">
            <v>27.57</v>
          </cell>
          <cell r="ACF11">
            <v>27.58</v>
          </cell>
          <cell r="ACG11">
            <v>27.59</v>
          </cell>
          <cell r="ACH11">
            <v>27.6</v>
          </cell>
          <cell r="ACI11">
            <v>27.61</v>
          </cell>
          <cell r="ACJ11">
            <v>27.62</v>
          </cell>
          <cell r="ACK11">
            <v>27.63</v>
          </cell>
          <cell r="ACL11">
            <v>27.64</v>
          </cell>
          <cell r="ACM11">
            <v>27.65</v>
          </cell>
          <cell r="ACN11">
            <v>27.66</v>
          </cell>
          <cell r="ACO11">
            <v>27.67</v>
          </cell>
          <cell r="ACP11">
            <v>27.68</v>
          </cell>
          <cell r="ACQ11">
            <v>27.69</v>
          </cell>
          <cell r="ACR11">
            <v>27.7</v>
          </cell>
          <cell r="ACS11">
            <v>27.71</v>
          </cell>
          <cell r="ACT11">
            <v>27.72</v>
          </cell>
          <cell r="ACU11">
            <v>27.73</v>
          </cell>
          <cell r="ACV11">
            <v>27.74</v>
          </cell>
          <cell r="ACW11">
            <v>27.75</v>
          </cell>
          <cell r="ACX11">
            <v>27.76</v>
          </cell>
          <cell r="ACY11">
            <v>27.77</v>
          </cell>
          <cell r="ACZ11">
            <v>27.78</v>
          </cell>
          <cell r="ADA11">
            <v>27.79</v>
          </cell>
          <cell r="ADB11">
            <v>27.8</v>
          </cell>
          <cell r="ADC11">
            <v>27.81</v>
          </cell>
          <cell r="ADD11">
            <v>27.82</v>
          </cell>
          <cell r="ADE11">
            <v>27.83</v>
          </cell>
          <cell r="ADF11">
            <v>27.84</v>
          </cell>
          <cell r="ADG11">
            <v>27.85</v>
          </cell>
          <cell r="ADH11">
            <v>27.86</v>
          </cell>
          <cell r="ADI11">
            <v>27.87</v>
          </cell>
          <cell r="ADJ11">
            <v>27.88</v>
          </cell>
          <cell r="ADK11">
            <v>27.89</v>
          </cell>
          <cell r="ADL11">
            <v>27.9</v>
          </cell>
          <cell r="ADM11">
            <v>27.91</v>
          </cell>
          <cell r="ADN11">
            <v>27.92</v>
          </cell>
          <cell r="ADO11">
            <v>27.93</v>
          </cell>
          <cell r="ADP11">
            <v>27.94</v>
          </cell>
          <cell r="ADQ11">
            <v>27.95</v>
          </cell>
          <cell r="ADR11">
            <v>27.96</v>
          </cell>
          <cell r="ADS11">
            <v>27.97</v>
          </cell>
          <cell r="ADT11">
            <v>27.98</v>
          </cell>
          <cell r="ADU11">
            <v>27.99</v>
          </cell>
          <cell r="ADV11">
            <v>28</v>
          </cell>
          <cell r="ADW11">
            <v>28.01</v>
          </cell>
          <cell r="ADX11">
            <v>28.02</v>
          </cell>
          <cell r="ADY11">
            <v>28.03</v>
          </cell>
          <cell r="ADZ11">
            <v>28.04</v>
          </cell>
          <cell r="AEA11">
            <v>28.05</v>
          </cell>
          <cell r="AEB11">
            <v>28.06</v>
          </cell>
          <cell r="AEC11">
            <v>28.07</v>
          </cell>
          <cell r="AED11">
            <v>28.08</v>
          </cell>
          <cell r="AEE11">
            <v>28.09</v>
          </cell>
          <cell r="AEF11">
            <v>28.1</v>
          </cell>
          <cell r="AEG11">
            <v>28.11</v>
          </cell>
          <cell r="AEH11">
            <v>28.12</v>
          </cell>
          <cell r="AEI11">
            <v>28.13</v>
          </cell>
          <cell r="AEJ11">
            <v>28.14</v>
          </cell>
          <cell r="AEK11">
            <v>28.15</v>
          </cell>
          <cell r="AEL11">
            <v>28.16</v>
          </cell>
          <cell r="AEM11">
            <v>28.17</v>
          </cell>
          <cell r="AEN11">
            <v>28.18</v>
          </cell>
          <cell r="AEO11">
            <v>28.19</v>
          </cell>
          <cell r="AEP11">
            <v>28.2</v>
          </cell>
          <cell r="AEQ11">
            <v>28.21</v>
          </cell>
          <cell r="AER11">
            <v>28.22</v>
          </cell>
          <cell r="AES11">
            <v>28.23</v>
          </cell>
          <cell r="AET11">
            <v>28.24</v>
          </cell>
          <cell r="AEU11">
            <v>28.25</v>
          </cell>
          <cell r="AEV11">
            <v>28.26</v>
          </cell>
          <cell r="AEW11">
            <v>28.27</v>
          </cell>
          <cell r="AEX11">
            <v>28.28</v>
          </cell>
          <cell r="AEY11">
            <v>28.29</v>
          </cell>
          <cell r="AEZ11">
            <v>28.3</v>
          </cell>
          <cell r="AFA11">
            <v>28.31</v>
          </cell>
          <cell r="AFB11">
            <v>28.32</v>
          </cell>
          <cell r="AFC11">
            <v>28.33</v>
          </cell>
          <cell r="AFD11">
            <v>28.34</v>
          </cell>
          <cell r="AFE11">
            <v>28.35</v>
          </cell>
          <cell r="AFF11">
            <v>28.36</v>
          </cell>
          <cell r="AFG11">
            <v>28.37</v>
          </cell>
          <cell r="AFH11">
            <v>28.38</v>
          </cell>
          <cell r="AFI11">
            <v>28.39</v>
          </cell>
          <cell r="AFJ11">
            <v>28.4</v>
          </cell>
          <cell r="AFK11">
            <v>28.41</v>
          </cell>
          <cell r="AFL11">
            <v>28.42</v>
          </cell>
          <cell r="AFM11">
            <v>28.43</v>
          </cell>
          <cell r="AFN11">
            <v>28.44</v>
          </cell>
          <cell r="AFO11">
            <v>28.45</v>
          </cell>
          <cell r="AFP11">
            <v>28.46</v>
          </cell>
          <cell r="AFQ11">
            <v>28.47</v>
          </cell>
          <cell r="AFR11">
            <v>28.48</v>
          </cell>
          <cell r="AFS11">
            <v>28.49</v>
          </cell>
          <cell r="AFT11">
            <v>28.5</v>
          </cell>
          <cell r="AFU11">
            <v>28.51</v>
          </cell>
          <cell r="AFV11">
            <v>28.52</v>
          </cell>
          <cell r="AFW11">
            <v>28.53</v>
          </cell>
          <cell r="AFX11">
            <v>28.54</v>
          </cell>
          <cell r="AFY11">
            <v>28.55</v>
          </cell>
          <cell r="AFZ11">
            <v>28.56</v>
          </cell>
          <cell r="AGA11">
            <v>28.57</v>
          </cell>
          <cell r="AGB11">
            <v>28.58</v>
          </cell>
          <cell r="AGC11">
            <v>28.59</v>
          </cell>
          <cell r="AGD11">
            <v>28.6</v>
          </cell>
          <cell r="AGE11">
            <v>28.61</v>
          </cell>
          <cell r="AGF11">
            <v>28.62</v>
          </cell>
          <cell r="AGG11">
            <v>28.63</v>
          </cell>
          <cell r="AGH11">
            <v>28.64</v>
          </cell>
          <cell r="AGI11">
            <v>28.65</v>
          </cell>
          <cell r="AGJ11">
            <v>28.66</v>
          </cell>
          <cell r="AGK11">
            <v>28.67</v>
          </cell>
          <cell r="AGL11">
            <v>28.68</v>
          </cell>
          <cell r="AGM11">
            <v>28.69</v>
          </cell>
          <cell r="AGN11">
            <v>28.7</v>
          </cell>
          <cell r="AGO11">
            <v>28.71</v>
          </cell>
          <cell r="AGP11">
            <v>28.72</v>
          </cell>
          <cell r="AGQ11">
            <v>28.73</v>
          </cell>
          <cell r="AGR11">
            <v>28.74</v>
          </cell>
          <cell r="AGS11">
            <v>28.75</v>
          </cell>
          <cell r="AGT11">
            <v>28.76</v>
          </cell>
          <cell r="AGU11">
            <v>28.77</v>
          </cell>
          <cell r="AGV11">
            <v>28.78</v>
          </cell>
          <cell r="AGW11">
            <v>28.79</v>
          </cell>
          <cell r="AGX11">
            <v>28.8</v>
          </cell>
          <cell r="AGY11">
            <v>28.81</v>
          </cell>
          <cell r="AGZ11">
            <v>28.82</v>
          </cell>
          <cell r="AHA11">
            <v>28.83</v>
          </cell>
          <cell r="AHB11">
            <v>28.84</v>
          </cell>
          <cell r="AHC11">
            <v>28.85</v>
          </cell>
          <cell r="AHD11">
            <v>28.86</v>
          </cell>
          <cell r="AHE11">
            <v>28.87</v>
          </cell>
          <cell r="AHF11">
            <v>28.88</v>
          </cell>
          <cell r="AHG11">
            <v>28.89</v>
          </cell>
          <cell r="AHH11">
            <v>28.9</v>
          </cell>
          <cell r="AHI11">
            <v>28.91</v>
          </cell>
          <cell r="AHJ11">
            <v>28.92</v>
          </cell>
          <cell r="AHK11">
            <v>28.93</v>
          </cell>
          <cell r="AHL11">
            <v>28.94</v>
          </cell>
          <cell r="AHM11">
            <v>28.95</v>
          </cell>
          <cell r="AHN11">
            <v>28.96</v>
          </cell>
          <cell r="AHO11">
            <v>28.97</v>
          </cell>
          <cell r="AHP11">
            <v>28.98</v>
          </cell>
          <cell r="AHQ11">
            <v>28.99</v>
          </cell>
          <cell r="AHR11">
            <v>29</v>
          </cell>
          <cell r="AHS11">
            <v>29.01</v>
          </cell>
          <cell r="AHT11">
            <v>29.02</v>
          </cell>
          <cell r="AHU11">
            <v>29.03</v>
          </cell>
          <cell r="AHV11">
            <v>29.04</v>
          </cell>
          <cell r="AHW11">
            <v>29.05</v>
          </cell>
          <cell r="AHX11">
            <v>29.06</v>
          </cell>
          <cell r="AHY11">
            <v>29.07</v>
          </cell>
          <cell r="AHZ11">
            <v>29.08</v>
          </cell>
          <cell r="AIA11">
            <v>29.09</v>
          </cell>
          <cell r="AIB11">
            <v>29.1</v>
          </cell>
          <cell r="AIC11">
            <v>29.11</v>
          </cell>
          <cell r="AID11">
            <v>29.12</v>
          </cell>
          <cell r="AIE11">
            <v>29.13</v>
          </cell>
          <cell r="AIF11">
            <v>29.14</v>
          </cell>
          <cell r="AIG11">
            <v>29.15</v>
          </cell>
          <cell r="AIH11">
            <v>29.16</v>
          </cell>
          <cell r="AII11">
            <v>29.17</v>
          </cell>
          <cell r="AIJ11">
            <v>29.18</v>
          </cell>
          <cell r="AIK11">
            <v>29.19</v>
          </cell>
          <cell r="AIL11">
            <v>29.2</v>
          </cell>
          <cell r="AIM11">
            <v>29.21</v>
          </cell>
          <cell r="AIN11">
            <v>29.22</v>
          </cell>
          <cell r="AIO11">
            <v>29.23</v>
          </cell>
          <cell r="AIP11">
            <v>29.24</v>
          </cell>
          <cell r="AIQ11">
            <v>29.25</v>
          </cell>
          <cell r="AIR11">
            <v>29.26</v>
          </cell>
          <cell r="AIS11">
            <v>29.27</v>
          </cell>
          <cell r="AIT11">
            <v>29.28</v>
          </cell>
          <cell r="AIU11">
            <v>29.29</v>
          </cell>
          <cell r="AIV11">
            <v>29.3</v>
          </cell>
          <cell r="AIW11">
            <v>29.31</v>
          </cell>
          <cell r="AIX11">
            <v>29.32</v>
          </cell>
          <cell r="AIY11">
            <v>29.33</v>
          </cell>
          <cell r="AIZ11">
            <v>29.34</v>
          </cell>
          <cell r="AJA11">
            <v>29.35</v>
          </cell>
          <cell r="AJB11">
            <v>29.36</v>
          </cell>
          <cell r="AJC11">
            <v>29.37</v>
          </cell>
          <cell r="AJD11">
            <v>29.38</v>
          </cell>
          <cell r="AJE11">
            <v>29.39</v>
          </cell>
          <cell r="AJF11">
            <v>29.4</v>
          </cell>
          <cell r="AJG11">
            <v>29.41</v>
          </cell>
          <cell r="AJH11">
            <v>29.42</v>
          </cell>
          <cell r="AJI11">
            <v>29.43</v>
          </cell>
          <cell r="AJJ11">
            <v>29.44</v>
          </cell>
          <cell r="AJK11">
            <v>29.45</v>
          </cell>
          <cell r="AJL11">
            <v>29.46</v>
          </cell>
          <cell r="AJM11">
            <v>29.47</v>
          </cell>
          <cell r="AJN11">
            <v>29.48</v>
          </cell>
          <cell r="AJO11">
            <v>29.49</v>
          </cell>
          <cell r="AJP11">
            <v>29.5</v>
          </cell>
          <cell r="AJQ11">
            <v>29.51</v>
          </cell>
          <cell r="AJR11">
            <v>29.52</v>
          </cell>
          <cell r="AJS11">
            <v>29.53</v>
          </cell>
          <cell r="AJT11">
            <v>29.54</v>
          </cell>
          <cell r="AJU11">
            <v>29.55</v>
          </cell>
          <cell r="AJV11">
            <v>29.56</v>
          </cell>
          <cell r="AJW11">
            <v>29.57</v>
          </cell>
          <cell r="AJX11">
            <v>29.58</v>
          </cell>
          <cell r="AJY11">
            <v>29.59</v>
          </cell>
          <cell r="AJZ11">
            <v>29.6</v>
          </cell>
          <cell r="AKA11">
            <v>29.61</v>
          </cell>
          <cell r="AKB11">
            <v>29.62</v>
          </cell>
          <cell r="AKC11">
            <v>29.63</v>
          </cell>
          <cell r="AKD11">
            <v>29.64</v>
          </cell>
          <cell r="AKE11">
            <v>29.65</v>
          </cell>
          <cell r="AKF11">
            <v>29.66</v>
          </cell>
          <cell r="AKG11">
            <v>29.67</v>
          </cell>
          <cell r="AKH11">
            <v>29.68</v>
          </cell>
          <cell r="AKI11">
            <v>29.69</v>
          </cell>
          <cell r="AKJ11">
            <v>29.7</v>
          </cell>
          <cell r="AKK11">
            <v>29.71</v>
          </cell>
          <cell r="AKL11">
            <v>29.72</v>
          </cell>
          <cell r="AKM11">
            <v>29.73</v>
          </cell>
          <cell r="AKN11">
            <v>29.74</v>
          </cell>
          <cell r="AKO11">
            <v>29.75</v>
          </cell>
          <cell r="AKP11">
            <v>29.76</v>
          </cell>
          <cell r="AKQ11">
            <v>29.77</v>
          </cell>
          <cell r="AKR11">
            <v>29.78</v>
          </cell>
          <cell r="AKS11">
            <v>29.79</v>
          </cell>
          <cell r="AKT11">
            <v>29.8</v>
          </cell>
          <cell r="AKU11">
            <v>29.81</v>
          </cell>
          <cell r="AKV11">
            <v>29.82</v>
          </cell>
          <cell r="AKW11">
            <v>29.83</v>
          </cell>
          <cell r="AKX11">
            <v>29.84</v>
          </cell>
          <cell r="AKY11">
            <v>29.85</v>
          </cell>
          <cell r="AKZ11">
            <v>29.86</v>
          </cell>
          <cell r="ALA11">
            <v>29.87</v>
          </cell>
          <cell r="ALB11">
            <v>29.88</v>
          </cell>
          <cell r="ALC11">
            <v>29.89</v>
          </cell>
          <cell r="ALD11">
            <v>29.9</v>
          </cell>
          <cell r="ALE11">
            <v>29.91</v>
          </cell>
          <cell r="ALF11">
            <v>29.92</v>
          </cell>
          <cell r="ALG11">
            <v>29.93</v>
          </cell>
          <cell r="ALH11">
            <v>29.94</v>
          </cell>
          <cell r="ALI11">
            <v>29.95</v>
          </cell>
          <cell r="ALJ11">
            <v>29.96</v>
          </cell>
          <cell r="ALK11">
            <v>29.97</v>
          </cell>
          <cell r="ALL11">
            <v>29.98</v>
          </cell>
          <cell r="ALM11">
            <v>29.99</v>
          </cell>
          <cell r="ALN11">
            <v>30</v>
          </cell>
          <cell r="ALO11">
            <v>30.01</v>
          </cell>
          <cell r="ALP11">
            <v>30.02</v>
          </cell>
          <cell r="ALQ11">
            <v>30.03</v>
          </cell>
          <cell r="ALR11">
            <v>30.04</v>
          </cell>
          <cell r="ALS11">
            <v>30.05</v>
          </cell>
          <cell r="ALT11">
            <v>30.06</v>
          </cell>
          <cell r="ALU11">
            <v>30.07</v>
          </cell>
          <cell r="ALV11">
            <v>30.08</v>
          </cell>
          <cell r="ALW11">
            <v>30.09</v>
          </cell>
          <cell r="ALX11">
            <v>30.1</v>
          </cell>
          <cell r="ALY11">
            <v>30.11</v>
          </cell>
          <cell r="ALZ11">
            <v>30.12</v>
          </cell>
          <cell r="AMA11">
            <v>30.13</v>
          </cell>
          <cell r="AMB11">
            <v>30.14</v>
          </cell>
          <cell r="AMC11">
            <v>30.15</v>
          </cell>
          <cell r="AMD11">
            <v>30.16</v>
          </cell>
          <cell r="AME11">
            <v>30.17</v>
          </cell>
          <cell r="AMF11">
            <v>30.18</v>
          </cell>
          <cell r="AMG11">
            <v>30.19</v>
          </cell>
          <cell r="AMH11">
            <v>30.2</v>
          </cell>
          <cell r="AMI11">
            <v>30.21</v>
          </cell>
          <cell r="AMJ11">
            <v>30.22</v>
          </cell>
          <cell r="AMK11">
            <v>30.23</v>
          </cell>
          <cell r="AML11">
            <v>30.24</v>
          </cell>
          <cell r="AMM11">
            <v>30.25</v>
          </cell>
          <cell r="AMN11">
            <v>30.26</v>
          </cell>
          <cell r="AMO11">
            <v>30.27</v>
          </cell>
          <cell r="AMP11">
            <v>30.28</v>
          </cell>
          <cell r="AMQ11">
            <v>30.29</v>
          </cell>
          <cell r="AMR11">
            <v>30.3</v>
          </cell>
          <cell r="AMS11">
            <v>30.31</v>
          </cell>
          <cell r="AMT11">
            <v>30.32</v>
          </cell>
          <cell r="AMU11">
            <v>30.33</v>
          </cell>
          <cell r="AMV11">
            <v>30.34</v>
          </cell>
          <cell r="AMW11">
            <v>30.35</v>
          </cell>
          <cell r="AMX11">
            <v>30.36</v>
          </cell>
          <cell r="AMY11">
            <v>30.37</v>
          </cell>
          <cell r="AMZ11">
            <v>30.38</v>
          </cell>
          <cell r="ANA11">
            <v>30.39</v>
          </cell>
          <cell r="ANB11">
            <v>30.4</v>
          </cell>
          <cell r="ANC11">
            <v>30.41</v>
          </cell>
          <cell r="AND11">
            <v>30.42</v>
          </cell>
          <cell r="ANE11">
            <v>30.43</v>
          </cell>
          <cell r="ANF11">
            <v>30.44</v>
          </cell>
          <cell r="ANG11">
            <v>30.45</v>
          </cell>
          <cell r="ANH11">
            <v>30.46</v>
          </cell>
          <cell r="ANI11">
            <v>30.47</v>
          </cell>
          <cell r="ANJ11">
            <v>30.48</v>
          </cell>
          <cell r="ANK11">
            <v>30.49</v>
          </cell>
          <cell r="ANL11">
            <v>30.5</v>
          </cell>
          <cell r="ANM11">
            <v>30.51</v>
          </cell>
          <cell r="ANN11">
            <v>30.52</v>
          </cell>
          <cell r="ANO11">
            <v>30.53</v>
          </cell>
          <cell r="ANP11">
            <v>30.54</v>
          </cell>
          <cell r="ANQ11">
            <v>30.55</v>
          </cell>
          <cell r="ANR11">
            <v>30.56</v>
          </cell>
          <cell r="ANS11">
            <v>30.57</v>
          </cell>
          <cell r="ANT11">
            <v>30.58</v>
          </cell>
          <cell r="ANU11">
            <v>30.59</v>
          </cell>
          <cell r="ANV11">
            <v>30.6</v>
          </cell>
          <cell r="ANW11">
            <v>30.61</v>
          </cell>
          <cell r="ANX11">
            <v>30.62</v>
          </cell>
          <cell r="ANY11">
            <v>30.63</v>
          </cell>
          <cell r="ANZ11">
            <v>30.64</v>
          </cell>
          <cell r="AOA11">
            <v>30.65</v>
          </cell>
          <cell r="AOB11">
            <v>30.66</v>
          </cell>
          <cell r="AOC11">
            <v>30.67</v>
          </cell>
          <cell r="AOD11">
            <v>30.68</v>
          </cell>
          <cell r="AOE11">
            <v>30.69</v>
          </cell>
          <cell r="AOF11">
            <v>30.7</v>
          </cell>
          <cell r="AOG11">
            <v>30.71</v>
          </cell>
          <cell r="AOH11">
            <v>30.72</v>
          </cell>
          <cell r="AOI11">
            <v>30.73</v>
          </cell>
          <cell r="AOJ11">
            <v>30.74</v>
          </cell>
          <cell r="AOK11">
            <v>30.75</v>
          </cell>
          <cell r="AOL11">
            <v>30.76</v>
          </cell>
          <cell r="AOM11">
            <v>30.77</v>
          </cell>
          <cell r="AON11">
            <v>30.78</v>
          </cell>
          <cell r="AOO11">
            <v>30.79</v>
          </cell>
          <cell r="AOP11">
            <v>30.8</v>
          </cell>
          <cell r="AOQ11">
            <v>30.81</v>
          </cell>
          <cell r="AOR11">
            <v>30.82</v>
          </cell>
          <cell r="AOS11">
            <v>30.83</v>
          </cell>
          <cell r="AOT11">
            <v>30.84</v>
          </cell>
          <cell r="AOU11">
            <v>30.85</v>
          </cell>
          <cell r="AOV11">
            <v>30.86</v>
          </cell>
          <cell r="AOW11">
            <v>30.87</v>
          </cell>
          <cell r="AOX11">
            <v>30.88</v>
          </cell>
          <cell r="AOY11">
            <v>30.89</v>
          </cell>
          <cell r="AOZ11">
            <v>30.9</v>
          </cell>
          <cell r="APA11">
            <v>30.91</v>
          </cell>
          <cell r="APB11">
            <v>30.92</v>
          </cell>
          <cell r="APC11">
            <v>30.93</v>
          </cell>
          <cell r="APD11">
            <v>30.94</v>
          </cell>
          <cell r="APE11">
            <v>30.95</v>
          </cell>
          <cell r="APF11">
            <v>30.96</v>
          </cell>
          <cell r="APG11">
            <v>30.97</v>
          </cell>
          <cell r="APH11">
            <v>30.98</v>
          </cell>
          <cell r="API11">
            <v>30.99</v>
          </cell>
          <cell r="APJ11">
            <v>31</v>
          </cell>
          <cell r="APK11">
            <v>31.01</v>
          </cell>
          <cell r="APL11">
            <v>31.02</v>
          </cell>
          <cell r="APM11">
            <v>31.03</v>
          </cell>
          <cell r="APN11">
            <v>31.04</v>
          </cell>
          <cell r="APO11">
            <v>31.05</v>
          </cell>
          <cell r="APP11">
            <v>31.06</v>
          </cell>
          <cell r="APQ11">
            <v>31.07</v>
          </cell>
          <cell r="APR11">
            <v>31.08</v>
          </cell>
          <cell r="APS11">
            <v>31.09</v>
          </cell>
          <cell r="APT11">
            <v>31.1</v>
          </cell>
          <cell r="APU11">
            <v>31.11</v>
          </cell>
          <cell r="APV11">
            <v>31.12</v>
          </cell>
          <cell r="APW11">
            <v>31.13</v>
          </cell>
          <cell r="APX11">
            <v>31.14</v>
          </cell>
          <cell r="APY11">
            <v>31.15</v>
          </cell>
          <cell r="APZ11">
            <v>31.16</v>
          </cell>
          <cell r="AQA11">
            <v>31.17</v>
          </cell>
          <cell r="AQB11">
            <v>31.18</v>
          </cell>
          <cell r="AQC11">
            <v>31.19</v>
          </cell>
          <cell r="AQD11">
            <v>31.2</v>
          </cell>
          <cell r="AQE11">
            <v>31.21</v>
          </cell>
          <cell r="AQF11">
            <v>31.22</v>
          </cell>
          <cell r="AQG11">
            <v>31.23</v>
          </cell>
          <cell r="AQH11">
            <v>31.24</v>
          </cell>
          <cell r="AQI11">
            <v>31.25</v>
          </cell>
          <cell r="AQJ11">
            <v>31.26</v>
          </cell>
          <cell r="AQK11">
            <v>31.27</v>
          </cell>
          <cell r="AQL11">
            <v>31.28</v>
          </cell>
          <cell r="AQM11">
            <v>31.29</v>
          </cell>
          <cell r="AQN11">
            <v>31.3</v>
          </cell>
          <cell r="AQO11">
            <v>31.31</v>
          </cell>
          <cell r="AQP11">
            <v>31.32</v>
          </cell>
          <cell r="AQQ11">
            <v>31.33</v>
          </cell>
          <cell r="AQR11">
            <v>31.34</v>
          </cell>
          <cell r="AQS11">
            <v>31.35</v>
          </cell>
          <cell r="AQT11">
            <v>31.36</v>
          </cell>
          <cell r="AQU11">
            <v>31.37</v>
          </cell>
          <cell r="AQV11">
            <v>31.38</v>
          </cell>
          <cell r="AQW11">
            <v>31.39</v>
          </cell>
          <cell r="AQX11">
            <v>31.4</v>
          </cell>
          <cell r="AQY11">
            <v>31.41</v>
          </cell>
          <cell r="AQZ11">
            <v>31.42</v>
          </cell>
          <cell r="ARA11">
            <v>31.43</v>
          </cell>
          <cell r="ARB11">
            <v>31.44</v>
          </cell>
          <cell r="ARC11">
            <v>31.45</v>
          </cell>
          <cell r="ARD11">
            <v>31.46</v>
          </cell>
          <cell r="ARE11">
            <v>31.47</v>
          </cell>
          <cell r="ARF11">
            <v>31.48</v>
          </cell>
          <cell r="ARG11">
            <v>31.49</v>
          </cell>
          <cell r="ARH11">
            <v>31.5</v>
          </cell>
          <cell r="ARI11">
            <v>31.51</v>
          </cell>
          <cell r="ARJ11">
            <v>31.52</v>
          </cell>
          <cell r="ARK11">
            <v>31.53</v>
          </cell>
          <cell r="ARL11">
            <v>31.54</v>
          </cell>
          <cell r="ARM11">
            <v>31.55</v>
          </cell>
          <cell r="ARN11">
            <v>31.56</v>
          </cell>
          <cell r="ARO11">
            <v>31.57</v>
          </cell>
          <cell r="ARP11">
            <v>31.58</v>
          </cell>
          <cell r="ARQ11">
            <v>31.59</v>
          </cell>
          <cell r="ARR11">
            <v>31.6</v>
          </cell>
          <cell r="ARS11">
            <v>31.61</v>
          </cell>
          <cell r="ART11">
            <v>31.62</v>
          </cell>
          <cell r="ARU11">
            <v>31.63</v>
          </cell>
          <cell r="ARV11">
            <v>31.64</v>
          </cell>
          <cell r="ARW11">
            <v>31.65</v>
          </cell>
          <cell r="ARX11">
            <v>31.66</v>
          </cell>
          <cell r="ARY11">
            <v>31.67</v>
          </cell>
          <cell r="ARZ11">
            <v>31.68</v>
          </cell>
          <cell r="ASA11">
            <v>31.69</v>
          </cell>
          <cell r="ASB11">
            <v>31.7</v>
          </cell>
          <cell r="ASC11">
            <v>31.71</v>
          </cell>
          <cell r="ASD11">
            <v>31.72</v>
          </cell>
          <cell r="ASE11">
            <v>31.73</v>
          </cell>
          <cell r="ASF11">
            <v>31.74</v>
          </cell>
          <cell r="ASG11">
            <v>31.75</v>
          </cell>
          <cell r="ASH11">
            <v>31.76</v>
          </cell>
          <cell r="ASI11">
            <v>31.77</v>
          </cell>
          <cell r="ASJ11">
            <v>31.78</v>
          </cell>
          <cell r="ASK11">
            <v>31.79</v>
          </cell>
          <cell r="ASL11">
            <v>31.8</v>
          </cell>
          <cell r="ASM11">
            <v>31.81</v>
          </cell>
          <cell r="ASN11">
            <v>31.82</v>
          </cell>
          <cell r="ASO11">
            <v>31.83</v>
          </cell>
          <cell r="ASP11">
            <v>31.84</v>
          </cell>
          <cell r="ASQ11">
            <v>31.85</v>
          </cell>
          <cell r="ASR11">
            <v>31.86</v>
          </cell>
          <cell r="ASS11">
            <v>31.87</v>
          </cell>
          <cell r="AST11">
            <v>31.88</v>
          </cell>
          <cell r="ASU11">
            <v>31.89</v>
          </cell>
          <cell r="ASV11">
            <v>31.9</v>
          </cell>
          <cell r="ASW11">
            <v>31.91</v>
          </cell>
          <cell r="ASX11">
            <v>31.92</v>
          </cell>
          <cell r="ASY11">
            <v>31.93</v>
          </cell>
          <cell r="ASZ11">
            <v>31.94</v>
          </cell>
          <cell r="ATA11">
            <v>31.95</v>
          </cell>
          <cell r="ATB11">
            <v>31.96</v>
          </cell>
          <cell r="ATC11">
            <v>31.97</v>
          </cell>
          <cell r="ATD11">
            <v>31.98</v>
          </cell>
          <cell r="ATE11">
            <v>31.99</v>
          </cell>
          <cell r="ATF11">
            <v>32</v>
          </cell>
          <cell r="ATG11">
            <v>32.01</v>
          </cell>
          <cell r="ATH11">
            <v>32.020000000000003</v>
          </cell>
          <cell r="ATI11">
            <v>32.03</v>
          </cell>
          <cell r="ATJ11">
            <v>32.04</v>
          </cell>
          <cell r="ATK11">
            <v>32.049999999999997</v>
          </cell>
          <cell r="ATL11">
            <v>32.06</v>
          </cell>
          <cell r="ATM11">
            <v>32.07</v>
          </cell>
          <cell r="ATN11">
            <v>32.08</v>
          </cell>
          <cell r="ATO11">
            <v>32.090000000000003</v>
          </cell>
          <cell r="ATP11">
            <v>32.1</v>
          </cell>
          <cell r="ATQ11">
            <v>32.11</v>
          </cell>
          <cell r="ATR11">
            <v>32.119999999999997</v>
          </cell>
          <cell r="ATS11">
            <v>32.130000000000003</v>
          </cell>
          <cell r="ATT11">
            <v>32.14</v>
          </cell>
          <cell r="ATU11">
            <v>32.15</v>
          </cell>
          <cell r="ATV11">
            <v>32.159999999999997</v>
          </cell>
          <cell r="ATW11">
            <v>32.17</v>
          </cell>
          <cell r="ATX11">
            <v>32.18</v>
          </cell>
          <cell r="ATY11">
            <v>32.19</v>
          </cell>
          <cell r="ATZ11">
            <v>32.200000000000003</v>
          </cell>
          <cell r="AUA11">
            <v>32.21</v>
          </cell>
          <cell r="AUB11">
            <v>32.22</v>
          </cell>
          <cell r="AUC11">
            <v>32.229999999999997</v>
          </cell>
          <cell r="AUD11">
            <v>32.24</v>
          </cell>
          <cell r="AUE11">
            <v>32.25</v>
          </cell>
          <cell r="AUF11">
            <v>32.26</v>
          </cell>
          <cell r="AUG11">
            <v>32.270000000000003</v>
          </cell>
          <cell r="AUH11">
            <v>32.28</v>
          </cell>
          <cell r="AUI11">
            <v>32.29</v>
          </cell>
          <cell r="AUJ11">
            <v>32.299999999999997</v>
          </cell>
          <cell r="AUK11">
            <v>32.31</v>
          </cell>
          <cell r="AUL11">
            <v>32.32</v>
          </cell>
          <cell r="AUM11">
            <v>32.33</v>
          </cell>
          <cell r="AUN11">
            <v>32.340000000000003</v>
          </cell>
          <cell r="AUO11">
            <v>32.35</v>
          </cell>
          <cell r="AUP11">
            <v>32.36</v>
          </cell>
          <cell r="AUQ11">
            <v>32.369999999999997</v>
          </cell>
          <cell r="AUR11">
            <v>32.380000000000003</v>
          </cell>
          <cell r="AUS11">
            <v>32.39</v>
          </cell>
          <cell r="AUT11">
            <v>32.4</v>
          </cell>
          <cell r="AUU11">
            <v>32.409999999999997</v>
          </cell>
          <cell r="AUV11">
            <v>32.42</v>
          </cell>
          <cell r="AUW11">
            <v>32.43</v>
          </cell>
          <cell r="AUX11">
            <v>32.44</v>
          </cell>
          <cell r="AUY11">
            <v>32.450000000000003</v>
          </cell>
          <cell r="AUZ11">
            <v>32.46</v>
          </cell>
          <cell r="AVA11">
            <v>32.47</v>
          </cell>
          <cell r="AVB11">
            <v>32.479999999999997</v>
          </cell>
          <cell r="AVC11">
            <v>32.49</v>
          </cell>
          <cell r="AVD11">
            <v>32.5</v>
          </cell>
          <cell r="AVE11">
            <v>32.51</v>
          </cell>
          <cell r="AVF11">
            <v>32.520000000000003</v>
          </cell>
          <cell r="AVG11">
            <v>32.53</v>
          </cell>
          <cell r="AVH11">
            <v>32.54</v>
          </cell>
          <cell r="AVI11">
            <v>32.549999999999997</v>
          </cell>
          <cell r="AVJ11">
            <v>32.56</v>
          </cell>
          <cell r="AVK11">
            <v>32.57</v>
          </cell>
          <cell r="AVL11">
            <v>32.58</v>
          </cell>
          <cell r="AVM11">
            <v>32.590000000000003</v>
          </cell>
          <cell r="AVN11">
            <v>32.6</v>
          </cell>
          <cell r="AVO11">
            <v>32.61</v>
          </cell>
          <cell r="AVP11">
            <v>32.619999999999997</v>
          </cell>
          <cell r="AVQ11">
            <v>32.630000000000003</v>
          </cell>
          <cell r="AVR11">
            <v>32.64</v>
          </cell>
          <cell r="AVS11">
            <v>32.65</v>
          </cell>
          <cell r="AVT11">
            <v>32.659999999999997</v>
          </cell>
          <cell r="AVU11">
            <v>32.67</v>
          </cell>
          <cell r="AVV11">
            <v>32.68</v>
          </cell>
          <cell r="AVW11">
            <v>32.69</v>
          </cell>
          <cell r="AVX11">
            <v>32.700000000000003</v>
          </cell>
          <cell r="AVY11">
            <v>32.71</v>
          </cell>
          <cell r="AVZ11">
            <v>32.72</v>
          </cell>
          <cell r="AWA11">
            <v>32.729999999999997</v>
          </cell>
          <cell r="AWB11">
            <v>32.74</v>
          </cell>
          <cell r="AWC11">
            <v>32.75</v>
          </cell>
          <cell r="AWD11">
            <v>32.76</v>
          </cell>
          <cell r="AWE11">
            <v>32.770000000000003</v>
          </cell>
          <cell r="AWF11">
            <v>32.78</v>
          </cell>
          <cell r="AWG11">
            <v>32.79</v>
          </cell>
          <cell r="AWH11">
            <v>32.799999999999997</v>
          </cell>
          <cell r="AWI11">
            <v>32.81</v>
          </cell>
          <cell r="AWJ11">
            <v>32.82</v>
          </cell>
          <cell r="AWK11">
            <v>32.83</v>
          </cell>
          <cell r="AWL11">
            <v>32.840000000000003</v>
          </cell>
          <cell r="AWM11">
            <v>32.85</v>
          </cell>
          <cell r="AWN11">
            <v>32.86</v>
          </cell>
          <cell r="AWO11">
            <v>32.869999999999997</v>
          </cell>
          <cell r="AWP11">
            <v>32.880000000000003</v>
          </cell>
          <cell r="AWQ11">
            <v>32.89</v>
          </cell>
          <cell r="AWR11">
            <v>32.9</v>
          </cell>
          <cell r="AWS11">
            <v>32.909999999999997</v>
          </cell>
          <cell r="AWT11">
            <v>32.92</v>
          </cell>
          <cell r="AWU11">
            <v>32.93</v>
          </cell>
          <cell r="AWV11">
            <v>32.94</v>
          </cell>
          <cell r="AWW11">
            <v>32.950000000000003</v>
          </cell>
          <cell r="AWX11">
            <v>32.96</v>
          </cell>
          <cell r="AWY11">
            <v>32.97</v>
          </cell>
          <cell r="AWZ11">
            <v>32.979999999999997</v>
          </cell>
          <cell r="AXA11">
            <v>32.99</v>
          </cell>
          <cell r="AXB11">
            <v>33</v>
          </cell>
          <cell r="AXC11">
            <v>33.01</v>
          </cell>
          <cell r="AXD11">
            <v>33.020000000000003</v>
          </cell>
          <cell r="AXE11">
            <v>33.03</v>
          </cell>
          <cell r="AXF11">
            <v>33.04</v>
          </cell>
          <cell r="AXG11">
            <v>33.049999999999997</v>
          </cell>
          <cell r="AXH11">
            <v>33.06</v>
          </cell>
          <cell r="AXI11">
            <v>33.07</v>
          </cell>
          <cell r="AXJ11">
            <v>33.08</v>
          </cell>
          <cell r="AXK11">
            <v>33.090000000000003</v>
          </cell>
          <cell r="AXL11">
            <v>33.1</v>
          </cell>
          <cell r="AXM11">
            <v>33.11</v>
          </cell>
          <cell r="AXN11">
            <v>33.119999999999997</v>
          </cell>
          <cell r="AXO11">
            <v>33.130000000000003</v>
          </cell>
          <cell r="AXP11">
            <v>33.14</v>
          </cell>
          <cell r="AXQ11">
            <v>33.15</v>
          </cell>
          <cell r="AXR11">
            <v>33.159999999999997</v>
          </cell>
          <cell r="AXS11">
            <v>33.17</v>
          </cell>
          <cell r="AXT11">
            <v>33.18</v>
          </cell>
          <cell r="AXU11">
            <v>33.19</v>
          </cell>
          <cell r="AXV11">
            <v>33.200000000000003</v>
          </cell>
          <cell r="AXW11">
            <v>33.21</v>
          </cell>
          <cell r="AXX11">
            <v>33.22</v>
          </cell>
          <cell r="AXY11">
            <v>33.229999999999997</v>
          </cell>
          <cell r="AXZ11">
            <v>33.24</v>
          </cell>
          <cell r="AYA11">
            <v>33.25</v>
          </cell>
          <cell r="AYB11">
            <v>33.26</v>
          </cell>
          <cell r="AYC11">
            <v>33.270000000000003</v>
          </cell>
          <cell r="AYD11">
            <v>33.28</v>
          </cell>
          <cell r="AYE11">
            <v>33.29</v>
          </cell>
          <cell r="AYF11">
            <v>33.299999999999997</v>
          </cell>
          <cell r="AYG11">
            <v>33.31</v>
          </cell>
          <cell r="AYH11">
            <v>33.32</v>
          </cell>
          <cell r="AYI11">
            <v>33.33</v>
          </cell>
          <cell r="AYJ11">
            <v>33.340000000000003</v>
          </cell>
          <cell r="AYK11">
            <v>33.35</v>
          </cell>
          <cell r="AYL11">
            <v>33.36</v>
          </cell>
          <cell r="AYM11">
            <v>33.369999999999997</v>
          </cell>
          <cell r="AYN11">
            <v>33.380000000000003</v>
          </cell>
          <cell r="AYO11">
            <v>33.39</v>
          </cell>
          <cell r="AYP11">
            <v>33.4</v>
          </cell>
          <cell r="AYQ11">
            <v>33.409999999999997</v>
          </cell>
          <cell r="AYR11">
            <v>33.42</v>
          </cell>
          <cell r="AYS11">
            <v>33.43</v>
          </cell>
          <cell r="AYT11">
            <v>33.44</v>
          </cell>
          <cell r="AYU11">
            <v>33.450000000000003</v>
          </cell>
          <cell r="AYV11">
            <v>33.46</v>
          </cell>
          <cell r="AYW11">
            <v>33.47</v>
          </cell>
          <cell r="AYX11">
            <v>33.479999999999997</v>
          </cell>
          <cell r="AYY11">
            <v>33.49</v>
          </cell>
          <cell r="AYZ11">
            <v>33.5</v>
          </cell>
          <cell r="AZA11">
            <v>33.51</v>
          </cell>
          <cell r="AZB11">
            <v>33.520000000000003</v>
          </cell>
          <cell r="AZC11">
            <v>33.53</v>
          </cell>
          <cell r="AZD11">
            <v>33.54</v>
          </cell>
          <cell r="AZE11">
            <v>33.549999999999997</v>
          </cell>
          <cell r="AZF11">
            <v>33.56</v>
          </cell>
          <cell r="AZG11">
            <v>33.57</v>
          </cell>
          <cell r="AZH11">
            <v>33.58</v>
          </cell>
          <cell r="AZI11">
            <v>33.590000000000003</v>
          </cell>
          <cell r="AZJ11">
            <v>33.6</v>
          </cell>
          <cell r="AZK11">
            <v>33.61</v>
          </cell>
          <cell r="AZL11">
            <v>33.619999999999997</v>
          </cell>
          <cell r="AZM11">
            <v>33.630000000000003</v>
          </cell>
          <cell r="AZN11">
            <v>33.64</v>
          </cell>
          <cell r="AZO11">
            <v>33.65</v>
          </cell>
          <cell r="AZP11">
            <v>33.659999999999997</v>
          </cell>
          <cell r="AZQ11">
            <v>33.67</v>
          </cell>
          <cell r="AZR11">
            <v>33.68</v>
          </cell>
          <cell r="AZS11">
            <v>33.69</v>
          </cell>
          <cell r="AZT11">
            <v>33.700000000000003</v>
          </cell>
          <cell r="AZU11">
            <v>33.71</v>
          </cell>
          <cell r="AZV11">
            <v>33.72</v>
          </cell>
          <cell r="AZW11">
            <v>33.729999999999997</v>
          </cell>
          <cell r="AZX11">
            <v>33.74</v>
          </cell>
          <cell r="AZY11">
            <v>33.75</v>
          </cell>
          <cell r="AZZ11">
            <v>33.76</v>
          </cell>
          <cell r="BAA11">
            <v>33.770000000000003</v>
          </cell>
          <cell r="BAB11">
            <v>33.78</v>
          </cell>
          <cell r="BAC11">
            <v>33.79</v>
          </cell>
          <cell r="BAD11">
            <v>33.799999999999997</v>
          </cell>
          <cell r="BAE11">
            <v>33.81</v>
          </cell>
          <cell r="BAF11">
            <v>33.82</v>
          </cell>
          <cell r="BAG11">
            <v>33.83</v>
          </cell>
          <cell r="BAH11">
            <v>33.840000000000003</v>
          </cell>
          <cell r="BAI11">
            <v>33.85</v>
          </cell>
          <cell r="BAJ11">
            <v>33.86</v>
          </cell>
          <cell r="BAK11">
            <v>33.869999999999997</v>
          </cell>
          <cell r="BAL11">
            <v>33.880000000000003</v>
          </cell>
          <cell r="BAM11">
            <v>33.89</v>
          </cell>
          <cell r="BAN11">
            <v>33.9</v>
          </cell>
          <cell r="BAO11">
            <v>33.909999999999997</v>
          </cell>
          <cell r="BAP11">
            <v>33.92</v>
          </cell>
          <cell r="BAQ11">
            <v>33.93</v>
          </cell>
          <cell r="BAR11">
            <v>33.94</v>
          </cell>
          <cell r="BAS11">
            <v>33.950000000000003</v>
          </cell>
          <cell r="BAT11">
            <v>33.96</v>
          </cell>
          <cell r="BAU11">
            <v>33.97</v>
          </cell>
          <cell r="BAV11">
            <v>33.979999999999997</v>
          </cell>
          <cell r="BAW11">
            <v>33.99</v>
          </cell>
          <cell r="BAX11">
            <v>34</v>
          </cell>
          <cell r="BAY11">
            <v>34.01</v>
          </cell>
          <cell r="BAZ11">
            <v>34.020000000000003</v>
          </cell>
          <cell r="BBA11">
            <v>34.03</v>
          </cell>
          <cell r="BBB11">
            <v>34.04</v>
          </cell>
          <cell r="BBC11">
            <v>34.049999999999997</v>
          </cell>
          <cell r="BBD11">
            <v>34.06</v>
          </cell>
          <cell r="BBE11">
            <v>34.07</v>
          </cell>
          <cell r="BBF11">
            <v>34.08</v>
          </cell>
          <cell r="BBG11">
            <v>34.090000000000003</v>
          </cell>
          <cell r="BBH11">
            <v>34.1</v>
          </cell>
          <cell r="BBI11">
            <v>34.11</v>
          </cell>
          <cell r="BBJ11">
            <v>34.119999999999997</v>
          </cell>
          <cell r="BBK11">
            <v>34.130000000000003</v>
          </cell>
          <cell r="BBL11">
            <v>34.14</v>
          </cell>
          <cell r="BBM11">
            <v>34.15</v>
          </cell>
          <cell r="BBN11">
            <v>34.159999999999997</v>
          </cell>
          <cell r="BBO11">
            <v>34.17</v>
          </cell>
          <cell r="BBP11">
            <v>34.18</v>
          </cell>
          <cell r="BBQ11">
            <v>34.19</v>
          </cell>
          <cell r="BBR11">
            <v>34.200000000000003</v>
          </cell>
          <cell r="BBS11">
            <v>34.21</v>
          </cell>
          <cell r="BBT11">
            <v>34.22</v>
          </cell>
          <cell r="BBU11">
            <v>34.229999999999997</v>
          </cell>
          <cell r="BBV11">
            <v>34.24</v>
          </cell>
          <cell r="BBW11">
            <v>34.25</v>
          </cell>
          <cell r="BBX11">
            <v>34.26</v>
          </cell>
          <cell r="BBY11">
            <v>34.270000000000003</v>
          </cell>
          <cell r="BBZ11">
            <v>34.28</v>
          </cell>
          <cell r="BCA11">
            <v>34.29</v>
          </cell>
          <cell r="BCB11">
            <v>34.299999999999997</v>
          </cell>
          <cell r="BCC11">
            <v>34.31</v>
          </cell>
          <cell r="BCD11">
            <v>34.32</v>
          </cell>
          <cell r="BCE11">
            <v>34.33</v>
          </cell>
          <cell r="BCF11">
            <v>34.340000000000003</v>
          </cell>
          <cell r="BCG11">
            <v>34.35</v>
          </cell>
          <cell r="BCH11">
            <v>34.36</v>
          </cell>
          <cell r="BCI11">
            <v>34.369999999999997</v>
          </cell>
          <cell r="BCJ11">
            <v>34.380000000000003</v>
          </cell>
          <cell r="BCK11">
            <v>34.39</v>
          </cell>
          <cell r="BCL11">
            <v>34.4</v>
          </cell>
          <cell r="BCM11">
            <v>34.409999999999997</v>
          </cell>
          <cell r="BCN11">
            <v>34.42</v>
          </cell>
          <cell r="BCO11">
            <v>34.43</v>
          </cell>
          <cell r="BCP11">
            <v>34.44</v>
          </cell>
          <cell r="BCQ11">
            <v>34.450000000000003</v>
          </cell>
          <cell r="BCR11">
            <v>34.46</v>
          </cell>
          <cell r="BCS11">
            <v>34.47</v>
          </cell>
          <cell r="BCT11">
            <v>34.479999999999997</v>
          </cell>
          <cell r="BCU11">
            <v>34.49</v>
          </cell>
          <cell r="BCV11">
            <v>34.5</v>
          </cell>
          <cell r="BCW11">
            <v>34.51</v>
          </cell>
          <cell r="BCX11">
            <v>34.520000000000003</v>
          </cell>
          <cell r="BCY11">
            <v>34.53</v>
          </cell>
          <cell r="BCZ11">
            <v>34.54</v>
          </cell>
          <cell r="BDA11">
            <v>34.549999999999997</v>
          </cell>
          <cell r="BDB11">
            <v>34.56</v>
          </cell>
          <cell r="BDC11">
            <v>34.57</v>
          </cell>
          <cell r="BDD11">
            <v>34.58</v>
          </cell>
          <cell r="BDE11">
            <v>34.590000000000003</v>
          </cell>
          <cell r="BDF11">
            <v>34.6</v>
          </cell>
          <cell r="BDG11">
            <v>34.61</v>
          </cell>
          <cell r="BDH11">
            <v>34.619999999999997</v>
          </cell>
          <cell r="BDI11">
            <v>34.630000000000003</v>
          </cell>
          <cell r="BDJ11">
            <v>34.64</v>
          </cell>
          <cell r="BDK11">
            <v>34.65</v>
          </cell>
          <cell r="BDL11">
            <v>34.659999999999997</v>
          </cell>
          <cell r="BDM11">
            <v>34.67</v>
          </cell>
          <cell r="BDN11">
            <v>34.68</v>
          </cell>
          <cell r="BDO11">
            <v>34.69</v>
          </cell>
          <cell r="BDP11">
            <v>34.700000000000003</v>
          </cell>
          <cell r="BDQ11">
            <v>34.71</v>
          </cell>
          <cell r="BDR11">
            <v>34.72</v>
          </cell>
          <cell r="BDS11">
            <v>34.729999999999997</v>
          </cell>
          <cell r="BDT11">
            <v>34.74</v>
          </cell>
          <cell r="BDU11">
            <v>34.75</v>
          </cell>
          <cell r="BDV11">
            <v>34.76</v>
          </cell>
          <cell r="BDW11">
            <v>34.770000000000003</v>
          </cell>
          <cell r="BDX11">
            <v>34.78</v>
          </cell>
          <cell r="BDY11">
            <v>34.79</v>
          </cell>
          <cell r="BDZ11">
            <v>34.799999999999997</v>
          </cell>
          <cell r="BEA11">
            <v>34.81</v>
          </cell>
          <cell r="BEB11">
            <v>34.82</v>
          </cell>
          <cell r="BEC11">
            <v>34.83</v>
          </cell>
          <cell r="BED11">
            <v>34.840000000000003</v>
          </cell>
          <cell r="BEE11">
            <v>34.85</v>
          </cell>
          <cell r="BEF11">
            <v>34.86</v>
          </cell>
          <cell r="BEG11">
            <v>34.869999999999997</v>
          </cell>
          <cell r="BEH11">
            <v>34.880000000000003</v>
          </cell>
          <cell r="BEI11">
            <v>34.89</v>
          </cell>
          <cell r="BEJ11">
            <v>34.9</v>
          </cell>
          <cell r="BEK11">
            <v>34.909999999999997</v>
          </cell>
          <cell r="BEL11">
            <v>34.92</v>
          </cell>
          <cell r="BEM11">
            <v>34.93</v>
          </cell>
          <cell r="BEN11">
            <v>34.94</v>
          </cell>
          <cell r="BEO11">
            <v>34.950000000000003</v>
          </cell>
          <cell r="BEP11">
            <v>34.96</v>
          </cell>
          <cell r="BEQ11">
            <v>34.97</v>
          </cell>
          <cell r="BER11">
            <v>34.979999999999997</v>
          </cell>
          <cell r="BES11">
            <v>34.99</v>
          </cell>
          <cell r="BET11">
            <v>35</v>
          </cell>
          <cell r="BEU11">
            <v>35.01</v>
          </cell>
          <cell r="BEV11">
            <v>35.020000000000003</v>
          </cell>
          <cell r="BEW11">
            <v>35.03</v>
          </cell>
          <cell r="BEX11">
            <v>35.04</v>
          </cell>
          <cell r="BEY11">
            <v>35.049999999999997</v>
          </cell>
          <cell r="BEZ11">
            <v>35.06</v>
          </cell>
          <cell r="BFA11">
            <v>35.07</v>
          </cell>
          <cell r="BFB11">
            <v>35.08</v>
          </cell>
          <cell r="BFC11">
            <v>35.090000000000003</v>
          </cell>
          <cell r="BFD11">
            <v>35.1</v>
          </cell>
          <cell r="BFE11">
            <v>35.11</v>
          </cell>
          <cell r="BFF11">
            <v>35.119999999999997</v>
          </cell>
          <cell r="BFG11">
            <v>35.130000000000003</v>
          </cell>
          <cell r="BFH11">
            <v>35.14</v>
          </cell>
          <cell r="BFI11">
            <v>35.15</v>
          </cell>
          <cell r="BFJ11">
            <v>35.159999999999997</v>
          </cell>
          <cell r="BFK11">
            <v>35.17</v>
          </cell>
          <cell r="BFL11">
            <v>35.18</v>
          </cell>
          <cell r="BFM11">
            <v>35.19</v>
          </cell>
          <cell r="BFN11">
            <v>35.200000000000003</v>
          </cell>
          <cell r="BFO11">
            <v>35.21</v>
          </cell>
          <cell r="BFP11">
            <v>35.22</v>
          </cell>
          <cell r="BFQ11">
            <v>35.229999999999997</v>
          </cell>
          <cell r="BFR11">
            <v>35.24</v>
          </cell>
          <cell r="BFS11">
            <v>35.25</v>
          </cell>
          <cell r="BFT11">
            <v>35.26</v>
          </cell>
          <cell r="BFU11">
            <v>35.270000000000003</v>
          </cell>
          <cell r="BFV11">
            <v>35.28</v>
          </cell>
          <cell r="BFW11">
            <v>35.29</v>
          </cell>
          <cell r="BFX11">
            <v>35.299999999999997</v>
          </cell>
          <cell r="BFY11">
            <v>35.31</v>
          </cell>
          <cell r="BFZ11">
            <v>35.32</v>
          </cell>
          <cell r="BGA11">
            <v>35.33</v>
          </cell>
          <cell r="BGB11">
            <v>35.340000000000003</v>
          </cell>
          <cell r="BGC11">
            <v>35.35</v>
          </cell>
          <cell r="BGD11">
            <v>35.36</v>
          </cell>
          <cell r="BGE11">
            <v>35.369999999999997</v>
          </cell>
          <cell r="BGF11">
            <v>35.380000000000003</v>
          </cell>
          <cell r="BGG11">
            <v>35.39</v>
          </cell>
          <cell r="BGH11">
            <v>35.4</v>
          </cell>
          <cell r="BGI11">
            <v>35.409999999999997</v>
          </cell>
          <cell r="BGJ11">
            <v>35.42</v>
          </cell>
          <cell r="BGK11">
            <v>35.43</v>
          </cell>
          <cell r="BGL11">
            <v>35.44</v>
          </cell>
          <cell r="BGM11">
            <v>35.450000000000003</v>
          </cell>
          <cell r="BGN11">
            <v>35.46</v>
          </cell>
          <cell r="BGO11">
            <v>35.47</v>
          </cell>
          <cell r="BGP11">
            <v>35.479999999999997</v>
          </cell>
          <cell r="BGQ11">
            <v>35.49</v>
          </cell>
          <cell r="BGR11">
            <v>35.5</v>
          </cell>
          <cell r="BGS11">
            <v>35.51</v>
          </cell>
          <cell r="BGT11">
            <v>35.520000000000003</v>
          </cell>
          <cell r="BGU11">
            <v>35.53</v>
          </cell>
          <cell r="BGV11">
            <v>35.54</v>
          </cell>
          <cell r="BGW11">
            <v>35.549999999999997</v>
          </cell>
          <cell r="BGX11">
            <v>35.56</v>
          </cell>
          <cell r="BGY11">
            <v>35.57</v>
          </cell>
          <cell r="BGZ11">
            <v>35.58</v>
          </cell>
          <cell r="BHA11">
            <v>35.590000000000003</v>
          </cell>
          <cell r="BHB11">
            <v>35.6</v>
          </cell>
          <cell r="BHC11">
            <v>35.61</v>
          </cell>
          <cell r="BHD11">
            <v>35.619999999999997</v>
          </cell>
          <cell r="BHE11">
            <v>35.630000000000003</v>
          </cell>
          <cell r="BHF11">
            <v>35.64</v>
          </cell>
          <cell r="BHG11">
            <v>35.65</v>
          </cell>
          <cell r="BHH11">
            <v>35.659999999999997</v>
          </cell>
          <cell r="BHI11">
            <v>35.67</v>
          </cell>
          <cell r="BHJ11">
            <v>35.68</v>
          </cell>
          <cell r="BHK11">
            <v>35.69</v>
          </cell>
          <cell r="BHL11">
            <v>35.700000000000003</v>
          </cell>
          <cell r="BHM11">
            <v>35.71</v>
          </cell>
          <cell r="BHN11">
            <v>35.72</v>
          </cell>
          <cell r="BHO11">
            <v>35.729999999999997</v>
          </cell>
          <cell r="BHP11">
            <v>35.74</v>
          </cell>
          <cell r="BHQ11">
            <v>35.75</v>
          </cell>
          <cell r="BHR11">
            <v>35.76</v>
          </cell>
          <cell r="BHS11">
            <v>35.770000000000003</v>
          </cell>
          <cell r="BHT11">
            <v>35.78</v>
          </cell>
          <cell r="BHU11">
            <v>35.79</v>
          </cell>
          <cell r="BHV11">
            <v>35.799999999999997</v>
          </cell>
          <cell r="BHW11">
            <v>35.81</v>
          </cell>
          <cell r="BHX11">
            <v>35.82</v>
          </cell>
          <cell r="BHY11">
            <v>35.83</v>
          </cell>
          <cell r="BHZ11">
            <v>35.840000000000003</v>
          </cell>
          <cell r="BIA11">
            <v>35.85</v>
          </cell>
          <cell r="BIB11">
            <v>35.86</v>
          </cell>
          <cell r="BIC11">
            <v>35.869999999999997</v>
          </cell>
          <cell r="BID11">
            <v>35.880000000000003</v>
          </cell>
          <cell r="BIE11">
            <v>35.89</v>
          </cell>
          <cell r="BIF11">
            <v>35.9</v>
          </cell>
          <cell r="BIG11">
            <v>35.909999999999997</v>
          </cell>
          <cell r="BIH11">
            <v>35.92</v>
          </cell>
          <cell r="BII11">
            <v>35.93</v>
          </cell>
          <cell r="BIJ11">
            <v>35.94</v>
          </cell>
          <cell r="BIK11">
            <v>35.950000000000003</v>
          </cell>
          <cell r="BIL11">
            <v>35.96</v>
          </cell>
          <cell r="BIM11">
            <v>35.97</v>
          </cell>
          <cell r="BIN11">
            <v>35.979999999999997</v>
          </cell>
          <cell r="BIO11">
            <v>35.99</v>
          </cell>
          <cell r="BIP11">
            <v>36</v>
          </cell>
          <cell r="BIQ11">
            <v>36.01</v>
          </cell>
          <cell r="BIR11">
            <v>36.020000000000003</v>
          </cell>
          <cell r="BIS11">
            <v>36.03</v>
          </cell>
          <cell r="BIT11">
            <v>36.04</v>
          </cell>
          <cell r="BIU11">
            <v>36.049999999999997</v>
          </cell>
          <cell r="BIV11">
            <v>36.06</v>
          </cell>
          <cell r="BIW11">
            <v>36.07</v>
          </cell>
          <cell r="BIX11">
            <v>36.08</v>
          </cell>
          <cell r="BIY11">
            <v>36.090000000000003</v>
          </cell>
          <cell r="BIZ11">
            <v>36.1</v>
          </cell>
          <cell r="BJA11">
            <v>36.11</v>
          </cell>
          <cell r="BJB11">
            <v>36.119999999999997</v>
          </cell>
          <cell r="BJC11">
            <v>36.130000000000003</v>
          </cell>
          <cell r="BJD11">
            <v>36.14</v>
          </cell>
          <cell r="BJE11">
            <v>36.15</v>
          </cell>
          <cell r="BJF11">
            <v>36.159999999999997</v>
          </cell>
          <cell r="BJG11">
            <v>36.17</v>
          </cell>
          <cell r="BJH11">
            <v>36.18</v>
          </cell>
          <cell r="BJI11">
            <v>36.19</v>
          </cell>
          <cell r="BJJ11">
            <v>36.200000000000003</v>
          </cell>
          <cell r="BJK11">
            <v>36.21</v>
          </cell>
          <cell r="BJL11">
            <v>36.22</v>
          </cell>
          <cell r="BJM11">
            <v>36.229999999999997</v>
          </cell>
          <cell r="BJN11">
            <v>36.24</v>
          </cell>
          <cell r="BJO11">
            <v>36.25</v>
          </cell>
          <cell r="BJP11">
            <v>36.26</v>
          </cell>
          <cell r="BJQ11">
            <v>36.270000000000003</v>
          </cell>
          <cell r="BJR11">
            <v>36.28</v>
          </cell>
          <cell r="BJS11">
            <v>36.29</v>
          </cell>
          <cell r="BJT11">
            <v>36.299999999999997</v>
          </cell>
          <cell r="BJU11">
            <v>36.31</v>
          </cell>
          <cell r="BJV11">
            <v>36.32</v>
          </cell>
          <cell r="BJW11">
            <v>36.33</v>
          </cell>
          <cell r="BJX11">
            <v>36.340000000000003</v>
          </cell>
          <cell r="BJY11">
            <v>36.35</v>
          </cell>
          <cell r="BJZ11">
            <v>36.36</v>
          </cell>
          <cell r="BKA11">
            <v>36.369999999999997</v>
          </cell>
          <cell r="BKB11">
            <v>36.380000000000003</v>
          </cell>
          <cell r="BKC11">
            <v>36.39</v>
          </cell>
          <cell r="BKD11">
            <v>36.4</v>
          </cell>
          <cell r="BKE11">
            <v>36.409999999999997</v>
          </cell>
          <cell r="BKF11">
            <v>36.42</v>
          </cell>
          <cell r="BKG11">
            <v>36.43</v>
          </cell>
          <cell r="BKH11">
            <v>36.44</v>
          </cell>
          <cell r="BKI11">
            <v>36.450000000000003</v>
          </cell>
          <cell r="BKJ11">
            <v>36.46</v>
          </cell>
          <cell r="BKK11">
            <v>36.47</v>
          </cell>
          <cell r="BKL11">
            <v>36.479999999999997</v>
          </cell>
          <cell r="BKM11">
            <v>36.49</v>
          </cell>
          <cell r="BKN11">
            <v>36.5</v>
          </cell>
          <cell r="BKO11">
            <v>36.51</v>
          </cell>
          <cell r="BKP11">
            <v>36.520000000000003</v>
          </cell>
          <cell r="BKQ11">
            <v>36.53</v>
          </cell>
          <cell r="BKR11">
            <v>36.54</v>
          </cell>
          <cell r="BKS11">
            <v>36.549999999999997</v>
          </cell>
          <cell r="BKT11">
            <v>36.56</v>
          </cell>
          <cell r="BKU11">
            <v>36.57</v>
          </cell>
          <cell r="BKV11">
            <v>36.58</v>
          </cell>
          <cell r="BKW11">
            <v>36.590000000000003</v>
          </cell>
          <cell r="BKX11">
            <v>36.6</v>
          </cell>
          <cell r="BKY11">
            <v>36.61</v>
          </cell>
          <cell r="BKZ11">
            <v>36.619999999999997</v>
          </cell>
          <cell r="BLA11">
            <v>36.630000000000003</v>
          </cell>
          <cell r="BLB11">
            <v>36.64</v>
          </cell>
          <cell r="BLC11">
            <v>36.65</v>
          </cell>
          <cell r="BLD11">
            <v>36.659999999999997</v>
          </cell>
          <cell r="BLE11">
            <v>36.67</v>
          </cell>
          <cell r="BLF11">
            <v>36.68</v>
          </cell>
          <cell r="BLG11">
            <v>36.69</v>
          </cell>
          <cell r="BLH11">
            <v>36.700000000000003</v>
          </cell>
          <cell r="BLI11">
            <v>36.71</v>
          </cell>
          <cell r="BLJ11">
            <v>36.72</v>
          </cell>
          <cell r="BLK11">
            <v>36.729999999999997</v>
          </cell>
          <cell r="BLL11">
            <v>36.74</v>
          </cell>
          <cell r="BLM11">
            <v>36.75</v>
          </cell>
          <cell r="BLN11">
            <v>36.76</v>
          </cell>
          <cell r="BLO11">
            <v>36.770000000000003</v>
          </cell>
          <cell r="BLP11">
            <v>36.78</v>
          </cell>
          <cell r="BLQ11">
            <v>36.79</v>
          </cell>
          <cell r="BLR11">
            <v>36.799999999999997</v>
          </cell>
          <cell r="BLS11">
            <v>36.81</v>
          </cell>
          <cell r="BLT11">
            <v>36.82</v>
          </cell>
          <cell r="BLU11">
            <v>36.83</v>
          </cell>
          <cell r="BLV11">
            <v>36.840000000000003</v>
          </cell>
          <cell r="BLW11">
            <v>36.85</v>
          </cell>
          <cell r="BLX11">
            <v>36.86</v>
          </cell>
          <cell r="BLY11">
            <v>36.869999999999997</v>
          </cell>
          <cell r="BLZ11">
            <v>36.880000000000003</v>
          </cell>
          <cell r="BMA11">
            <v>36.89</v>
          </cell>
          <cell r="BMB11">
            <v>36.9</v>
          </cell>
          <cell r="BMC11">
            <v>36.909999999999997</v>
          </cell>
          <cell r="BMD11">
            <v>36.92</v>
          </cell>
          <cell r="BME11">
            <v>36.93</v>
          </cell>
          <cell r="BMF11">
            <v>36.94</v>
          </cell>
          <cell r="BMG11">
            <v>36.950000000000003</v>
          </cell>
          <cell r="BMH11">
            <v>36.96</v>
          </cell>
          <cell r="BMI11">
            <v>36.97</v>
          </cell>
          <cell r="BMJ11">
            <v>36.979999999999997</v>
          </cell>
          <cell r="BMK11">
            <v>36.99</v>
          </cell>
          <cell r="BML11">
            <v>37</v>
          </cell>
          <cell r="BMM11">
            <v>37.01</v>
          </cell>
          <cell r="BMN11">
            <v>37.020000000000003</v>
          </cell>
          <cell r="BMO11">
            <v>37.03</v>
          </cell>
          <cell r="BMP11">
            <v>37.04</v>
          </cell>
          <cell r="BMQ11">
            <v>37.049999999999997</v>
          </cell>
          <cell r="BMR11">
            <v>37.06</v>
          </cell>
          <cell r="BMS11">
            <v>37.07</v>
          </cell>
          <cell r="BMT11">
            <v>37.08</v>
          </cell>
          <cell r="BMU11">
            <v>37.090000000000003</v>
          </cell>
          <cell r="BMV11">
            <v>37.1</v>
          </cell>
          <cell r="BMW11">
            <v>37.11</v>
          </cell>
          <cell r="BMX11">
            <v>37.119999999999997</v>
          </cell>
          <cell r="BMY11">
            <v>37.130000000000003</v>
          </cell>
          <cell r="BMZ11">
            <v>37.14</v>
          </cell>
          <cell r="BNA11">
            <v>37.15</v>
          </cell>
          <cell r="BNB11">
            <v>37.159999999999997</v>
          </cell>
          <cell r="BNC11">
            <v>37.17</v>
          </cell>
          <cell r="BND11">
            <v>37.18</v>
          </cell>
          <cell r="BNE11">
            <v>37.19</v>
          </cell>
          <cell r="BNF11">
            <v>37.200000000000003</v>
          </cell>
          <cell r="BNG11">
            <v>37.21</v>
          </cell>
          <cell r="BNH11">
            <v>37.22</v>
          </cell>
          <cell r="BNI11">
            <v>37.229999999999997</v>
          </cell>
          <cell r="BNJ11">
            <v>37.24</v>
          </cell>
          <cell r="BNK11">
            <v>37.25</v>
          </cell>
          <cell r="BNL11">
            <v>37.26</v>
          </cell>
          <cell r="BNM11">
            <v>37.270000000000003</v>
          </cell>
          <cell r="BNN11">
            <v>37.28</v>
          </cell>
          <cell r="BNO11">
            <v>37.29</v>
          </cell>
          <cell r="BNP11">
            <v>37.299999999999997</v>
          </cell>
          <cell r="BNQ11">
            <v>37.31</v>
          </cell>
          <cell r="BNR11">
            <v>37.32</v>
          </cell>
          <cell r="BNS11">
            <v>37.33</v>
          </cell>
          <cell r="BNT11">
            <v>37.340000000000003</v>
          </cell>
          <cell r="BNU11">
            <v>37.35</v>
          </cell>
          <cell r="BNV11">
            <v>37.36</v>
          </cell>
          <cell r="BNW11">
            <v>37.369999999999997</v>
          </cell>
          <cell r="BNX11">
            <v>37.380000000000003</v>
          </cell>
          <cell r="BNY11">
            <v>37.39</v>
          </cell>
          <cell r="BNZ11">
            <v>37.4</v>
          </cell>
          <cell r="BOA11">
            <v>37.409999999999997</v>
          </cell>
          <cell r="BOB11">
            <v>37.42</v>
          </cell>
          <cell r="BOC11">
            <v>37.43</v>
          </cell>
          <cell r="BOD11">
            <v>37.44</v>
          </cell>
          <cell r="BOE11">
            <v>37.450000000000003</v>
          </cell>
          <cell r="BOF11">
            <v>37.46</v>
          </cell>
          <cell r="BOG11">
            <v>37.47</v>
          </cell>
          <cell r="BOH11">
            <v>37.479999999999997</v>
          </cell>
          <cell r="BOI11">
            <v>37.49</v>
          </cell>
          <cell r="BOJ11">
            <v>37.5</v>
          </cell>
          <cell r="BOK11">
            <v>37.51</v>
          </cell>
          <cell r="BOL11">
            <v>37.520000000000003</v>
          </cell>
          <cell r="BOM11">
            <v>37.53</v>
          </cell>
          <cell r="BON11">
            <v>37.54</v>
          </cell>
          <cell r="BOO11">
            <v>37.549999999999997</v>
          </cell>
          <cell r="BOP11">
            <v>37.56</v>
          </cell>
          <cell r="BOQ11">
            <v>37.57</v>
          </cell>
          <cell r="BOR11">
            <v>37.58</v>
          </cell>
          <cell r="BOS11">
            <v>37.590000000000003</v>
          </cell>
          <cell r="BOT11">
            <v>37.6</v>
          </cell>
          <cell r="BOU11">
            <v>37.61</v>
          </cell>
          <cell r="BOV11">
            <v>37.619999999999997</v>
          </cell>
          <cell r="BOW11">
            <v>37.630000000000003</v>
          </cell>
          <cell r="BOX11">
            <v>37.64</v>
          </cell>
          <cell r="BOY11">
            <v>37.65</v>
          </cell>
          <cell r="BOZ11">
            <v>37.659999999999997</v>
          </cell>
          <cell r="BPA11">
            <v>37.67</v>
          </cell>
          <cell r="BPB11">
            <v>37.68</v>
          </cell>
          <cell r="BPC11">
            <v>37.69</v>
          </cell>
          <cell r="BPD11">
            <v>37.700000000000003</v>
          </cell>
          <cell r="BPE11">
            <v>37.71</v>
          </cell>
          <cell r="BPF11">
            <v>37.72</v>
          </cell>
          <cell r="BPG11">
            <v>37.729999999999997</v>
          </cell>
          <cell r="BPH11">
            <v>37.74</v>
          </cell>
          <cell r="BPI11">
            <v>37.75</v>
          </cell>
          <cell r="BPJ11">
            <v>37.76</v>
          </cell>
          <cell r="BPK11">
            <v>37.770000000000003</v>
          </cell>
          <cell r="BPL11">
            <v>37.78</v>
          </cell>
          <cell r="BPM11">
            <v>37.79</v>
          </cell>
          <cell r="BPN11">
            <v>37.799999999999997</v>
          </cell>
          <cell r="BPO11">
            <v>37.81</v>
          </cell>
          <cell r="BPP11">
            <v>37.82</v>
          </cell>
          <cell r="BPQ11">
            <v>37.83</v>
          </cell>
          <cell r="BPR11">
            <v>37.840000000000003</v>
          </cell>
          <cell r="BPS11">
            <v>37.85</v>
          </cell>
          <cell r="BPT11">
            <v>37.86</v>
          </cell>
          <cell r="BPU11">
            <v>37.869999999999997</v>
          </cell>
          <cell r="BPV11">
            <v>37.880000000000003</v>
          </cell>
          <cell r="BPW11">
            <v>37.89</v>
          </cell>
          <cell r="BPX11">
            <v>37.9</v>
          </cell>
          <cell r="BPY11">
            <v>37.909999999999997</v>
          </cell>
          <cell r="BPZ11">
            <v>37.92</v>
          </cell>
          <cell r="BQA11">
            <v>37.93</v>
          </cell>
          <cell r="BQB11">
            <v>37.94</v>
          </cell>
          <cell r="BQC11">
            <v>37.950000000000003</v>
          </cell>
          <cell r="BQD11">
            <v>37.96</v>
          </cell>
          <cell r="BQE11">
            <v>37.97</v>
          </cell>
          <cell r="BQF11">
            <v>37.979999999999997</v>
          </cell>
          <cell r="BQG11">
            <v>37.99</v>
          </cell>
          <cell r="BQH11">
            <v>38</v>
          </cell>
          <cell r="BQI11">
            <v>38.01</v>
          </cell>
          <cell r="BQJ11">
            <v>38.020000000000003</v>
          </cell>
          <cell r="BQK11">
            <v>38.03</v>
          </cell>
          <cell r="BQL11">
            <v>38.04</v>
          </cell>
          <cell r="BQM11">
            <v>38.049999999999997</v>
          </cell>
          <cell r="BQN11">
            <v>38.06</v>
          </cell>
          <cell r="BQO11">
            <v>38.07</v>
          </cell>
          <cell r="BQP11">
            <v>38.08</v>
          </cell>
          <cell r="BQQ11">
            <v>38.090000000000003</v>
          </cell>
          <cell r="BQR11">
            <v>38.1</v>
          </cell>
          <cell r="BQS11">
            <v>38.11</v>
          </cell>
          <cell r="BQT11">
            <v>38.119999999999997</v>
          </cell>
          <cell r="BQU11">
            <v>38.130000000000003</v>
          </cell>
          <cell r="BQV11">
            <v>38.14</v>
          </cell>
          <cell r="BQW11">
            <v>38.15</v>
          </cell>
          <cell r="BQX11">
            <v>38.159999999999997</v>
          </cell>
          <cell r="BQY11">
            <v>38.17</v>
          </cell>
          <cell r="BQZ11">
            <v>38.18</v>
          </cell>
          <cell r="BRA11">
            <v>38.19</v>
          </cell>
          <cell r="BRB11">
            <v>38.200000000000003</v>
          </cell>
          <cell r="BRC11">
            <v>38.21</v>
          </cell>
          <cell r="BRD11">
            <v>38.22</v>
          </cell>
          <cell r="BRE11">
            <v>38.229999999999997</v>
          </cell>
          <cell r="BRF11">
            <v>38.24</v>
          </cell>
          <cell r="BRG11">
            <v>38.25</v>
          </cell>
          <cell r="BRH11">
            <v>38.26</v>
          </cell>
          <cell r="BRI11">
            <v>38.270000000000003</v>
          </cell>
          <cell r="BRJ11">
            <v>38.28</v>
          </cell>
          <cell r="BRK11">
            <v>38.29</v>
          </cell>
          <cell r="BRL11">
            <v>38.299999999999997</v>
          </cell>
          <cell r="BRM11">
            <v>38.31</v>
          </cell>
          <cell r="BRN11">
            <v>38.32</v>
          </cell>
          <cell r="BRO11">
            <v>38.33</v>
          </cell>
          <cell r="BRP11">
            <v>38.340000000000003</v>
          </cell>
          <cell r="BRQ11">
            <v>38.35</v>
          </cell>
          <cell r="BRR11">
            <v>38.36</v>
          </cell>
          <cell r="BRS11">
            <v>38.369999999999997</v>
          </cell>
          <cell r="BRT11">
            <v>38.380000000000003</v>
          </cell>
          <cell r="BRU11">
            <v>38.39</v>
          </cell>
          <cell r="BRV11">
            <v>38.4</v>
          </cell>
          <cell r="BRW11">
            <v>38.409999999999997</v>
          </cell>
          <cell r="BRX11">
            <v>38.42</v>
          </cell>
          <cell r="BRY11">
            <v>38.43</v>
          </cell>
          <cell r="BRZ11">
            <v>38.44</v>
          </cell>
          <cell r="BSA11">
            <v>38.450000000000003</v>
          </cell>
          <cell r="BSB11">
            <v>38.46</v>
          </cell>
          <cell r="BSC11">
            <v>38.47</v>
          </cell>
          <cell r="BSD11">
            <v>38.479999999999997</v>
          </cell>
          <cell r="BSE11">
            <v>38.49</v>
          </cell>
          <cell r="BSF11">
            <v>38.5</v>
          </cell>
          <cell r="BSG11">
            <v>38.51</v>
          </cell>
          <cell r="BSH11">
            <v>38.520000000000003</v>
          </cell>
          <cell r="BSI11">
            <v>38.53</v>
          </cell>
          <cell r="BSJ11">
            <v>38.54</v>
          </cell>
          <cell r="BSK11">
            <v>38.549999999999997</v>
          </cell>
          <cell r="BSL11">
            <v>38.56</v>
          </cell>
          <cell r="BSM11">
            <v>38.57</v>
          </cell>
          <cell r="BSN11">
            <v>38.58</v>
          </cell>
          <cell r="BSO11">
            <v>38.590000000000003</v>
          </cell>
          <cell r="BSP11">
            <v>38.6</v>
          </cell>
          <cell r="BSQ11">
            <v>38.61</v>
          </cell>
          <cell r="BSR11">
            <v>38.619999999999997</v>
          </cell>
          <cell r="BSS11">
            <v>38.630000000000003</v>
          </cell>
          <cell r="BST11">
            <v>38.64</v>
          </cell>
          <cell r="BSU11">
            <v>38.65</v>
          </cell>
          <cell r="BSV11">
            <v>38.659999999999997</v>
          </cell>
          <cell r="BSW11">
            <v>38.67</v>
          </cell>
          <cell r="BSX11">
            <v>38.68</v>
          </cell>
          <cell r="BSY11">
            <v>38.69</v>
          </cell>
          <cell r="BSZ11">
            <v>38.700000000000003</v>
          </cell>
          <cell r="BTA11">
            <v>38.71</v>
          </cell>
          <cell r="BTB11">
            <v>38.72</v>
          </cell>
          <cell r="BTC11">
            <v>38.729999999999997</v>
          </cell>
          <cell r="BTD11">
            <v>38.74</v>
          </cell>
          <cell r="BTE11">
            <v>38.75</v>
          </cell>
          <cell r="BTF11">
            <v>38.76</v>
          </cell>
          <cell r="BTG11">
            <v>38.770000000000003</v>
          </cell>
          <cell r="BTH11">
            <v>38.78</v>
          </cell>
          <cell r="BTI11">
            <v>38.79</v>
          </cell>
          <cell r="BTJ11">
            <v>38.799999999999997</v>
          </cell>
          <cell r="BTK11">
            <v>38.81</v>
          </cell>
          <cell r="BTL11">
            <v>38.82</v>
          </cell>
          <cell r="BTM11">
            <v>38.83</v>
          </cell>
          <cell r="BTN11">
            <v>38.840000000000003</v>
          </cell>
          <cell r="BTO11">
            <v>38.85</v>
          </cell>
          <cell r="BTP11">
            <v>38.86</v>
          </cell>
          <cell r="BTQ11">
            <v>38.869999999999997</v>
          </cell>
          <cell r="BTR11">
            <v>38.880000000000003</v>
          </cell>
          <cell r="BTS11">
            <v>38.89</v>
          </cell>
          <cell r="BTT11">
            <v>38.9</v>
          </cell>
          <cell r="BTU11">
            <v>38.909999999999997</v>
          </cell>
          <cell r="BTV11">
            <v>38.92</v>
          </cell>
          <cell r="BTW11">
            <v>38.93</v>
          </cell>
          <cell r="BTX11">
            <v>38.94</v>
          </cell>
          <cell r="BTY11">
            <v>38.950000000000003</v>
          </cell>
          <cell r="BTZ11">
            <v>38.96</v>
          </cell>
          <cell r="BUA11">
            <v>38.97</v>
          </cell>
          <cell r="BUB11">
            <v>38.979999999999997</v>
          </cell>
          <cell r="BUC11">
            <v>38.99</v>
          </cell>
          <cell r="BUD11">
            <v>39</v>
          </cell>
          <cell r="BUE11">
            <v>39.01</v>
          </cell>
          <cell r="BUF11">
            <v>39.020000000000003</v>
          </cell>
          <cell r="BUG11">
            <v>39.03</v>
          </cell>
          <cell r="BUH11">
            <v>39.04</v>
          </cell>
          <cell r="BUI11">
            <v>39.049999999999997</v>
          </cell>
          <cell r="BUJ11">
            <v>39.06</v>
          </cell>
          <cell r="BUK11">
            <v>39.07</v>
          </cell>
          <cell r="BUL11">
            <v>39.08</v>
          </cell>
          <cell r="BUM11">
            <v>39.090000000000003</v>
          </cell>
          <cell r="BUN11">
            <v>39.1</v>
          </cell>
          <cell r="BUO11">
            <v>39.11</v>
          </cell>
          <cell r="BUP11">
            <v>39.119999999999997</v>
          </cell>
          <cell r="BUQ11">
            <v>39.130000000000003</v>
          </cell>
          <cell r="BUR11">
            <v>39.14</v>
          </cell>
          <cell r="BUS11">
            <v>39.15</v>
          </cell>
          <cell r="BUT11">
            <v>39.159999999999997</v>
          </cell>
          <cell r="BUU11">
            <v>39.17</v>
          </cell>
          <cell r="BUV11">
            <v>39.18</v>
          </cell>
          <cell r="BUW11">
            <v>39.19</v>
          </cell>
          <cell r="BUX11">
            <v>39.200000000000003</v>
          </cell>
          <cell r="BUY11">
            <v>39.21</v>
          </cell>
          <cell r="BUZ11">
            <v>39.22</v>
          </cell>
          <cell r="BVA11">
            <v>39.229999999999997</v>
          </cell>
          <cell r="BVB11">
            <v>39.24</v>
          </cell>
          <cell r="BVC11">
            <v>39.25</v>
          </cell>
          <cell r="BVD11">
            <v>39.26</v>
          </cell>
          <cell r="BVE11">
            <v>39.270000000000003</v>
          </cell>
          <cell r="BVF11">
            <v>39.28</v>
          </cell>
          <cell r="BVG11">
            <v>39.29</v>
          </cell>
          <cell r="BVH11">
            <v>39.299999999999997</v>
          </cell>
          <cell r="BVI11">
            <v>39.31</v>
          </cell>
          <cell r="BVJ11">
            <v>39.32</v>
          </cell>
          <cell r="BVK11">
            <v>39.33</v>
          </cell>
          <cell r="BVL11">
            <v>39.340000000000003</v>
          </cell>
          <cell r="BVM11">
            <v>39.35</v>
          </cell>
          <cell r="BVN11">
            <v>39.36</v>
          </cell>
          <cell r="BVO11">
            <v>39.369999999999997</v>
          </cell>
          <cell r="BVP11">
            <v>39.380000000000003</v>
          </cell>
          <cell r="BVQ11">
            <v>39.39</v>
          </cell>
          <cell r="BVR11">
            <v>39.4</v>
          </cell>
          <cell r="BVS11">
            <v>39.409999999999997</v>
          </cell>
          <cell r="BVT11">
            <v>39.42</v>
          </cell>
          <cell r="BVU11">
            <v>39.43</v>
          </cell>
          <cell r="BVV11">
            <v>39.44</v>
          </cell>
          <cell r="BVW11">
            <v>39.450000000000003</v>
          </cell>
          <cell r="BVX11">
            <v>39.46</v>
          </cell>
          <cell r="BVY11">
            <v>39.47</v>
          </cell>
          <cell r="BVZ11">
            <v>39.479999999999997</v>
          </cell>
          <cell r="BWA11">
            <v>39.49</v>
          </cell>
          <cell r="BWB11">
            <v>39.5</v>
          </cell>
          <cell r="BWC11">
            <v>39.51</v>
          </cell>
          <cell r="BWD11">
            <v>39.520000000000003</v>
          </cell>
          <cell r="BWE11">
            <v>39.53</v>
          </cell>
          <cell r="BWF11">
            <v>39.54</v>
          </cell>
          <cell r="BWG11">
            <v>39.549999999999997</v>
          </cell>
          <cell r="BWH11">
            <v>39.56</v>
          </cell>
          <cell r="BWI11">
            <v>39.57</v>
          </cell>
          <cell r="BWJ11">
            <v>39.58</v>
          </cell>
          <cell r="BWK11">
            <v>39.590000000000003</v>
          </cell>
          <cell r="BWL11">
            <v>39.6</v>
          </cell>
          <cell r="BWM11">
            <v>39.61</v>
          </cell>
          <cell r="BWN11">
            <v>39.619999999999997</v>
          </cell>
          <cell r="BWO11">
            <v>39.630000000000003</v>
          </cell>
          <cell r="BWP11">
            <v>39.64</v>
          </cell>
          <cell r="BWQ11">
            <v>39.65</v>
          </cell>
          <cell r="BWR11">
            <v>39.659999999999997</v>
          </cell>
          <cell r="BWS11">
            <v>39.67</v>
          </cell>
          <cell r="BWT11">
            <v>39.68</v>
          </cell>
          <cell r="BWU11">
            <v>39.69</v>
          </cell>
          <cell r="BWV11">
            <v>39.700000000000003</v>
          </cell>
          <cell r="BWW11">
            <v>39.71</v>
          </cell>
          <cell r="BWX11">
            <v>39.72</v>
          </cell>
          <cell r="BWY11">
            <v>39.729999999999997</v>
          </cell>
          <cell r="BWZ11">
            <v>39.74</v>
          </cell>
          <cell r="BXA11">
            <v>39.75</v>
          </cell>
          <cell r="BXB11">
            <v>39.76</v>
          </cell>
          <cell r="BXC11">
            <v>39.770000000000003</v>
          </cell>
          <cell r="BXD11">
            <v>39.78</v>
          </cell>
          <cell r="BXE11">
            <v>39.79</v>
          </cell>
          <cell r="BXF11">
            <v>39.799999999999997</v>
          </cell>
          <cell r="BXG11">
            <v>39.81</v>
          </cell>
          <cell r="BXH11">
            <v>39.82</v>
          </cell>
          <cell r="BXI11">
            <v>39.83</v>
          </cell>
          <cell r="BXJ11">
            <v>39.840000000000003</v>
          </cell>
          <cell r="BXK11">
            <v>39.85</v>
          </cell>
          <cell r="BXL11">
            <v>39.86</v>
          </cell>
          <cell r="BXM11">
            <v>39.869999999999997</v>
          </cell>
          <cell r="BXN11">
            <v>39.880000000000003</v>
          </cell>
          <cell r="BXO11">
            <v>39.89</v>
          </cell>
          <cell r="BXP11">
            <v>39.9</v>
          </cell>
          <cell r="BXQ11">
            <v>39.909999999999997</v>
          </cell>
          <cell r="BXR11">
            <v>39.92</v>
          </cell>
          <cell r="BXS11">
            <v>39.93</v>
          </cell>
          <cell r="BXT11">
            <v>39.94</v>
          </cell>
          <cell r="BXU11">
            <v>39.950000000000003</v>
          </cell>
          <cell r="BXV11">
            <v>39.96</v>
          </cell>
          <cell r="BXW11">
            <v>39.97</v>
          </cell>
          <cell r="BXX11">
            <v>39.979999999999997</v>
          </cell>
          <cell r="BXY11">
            <v>39.99</v>
          </cell>
          <cell r="BXZ11">
            <v>40</v>
          </cell>
          <cell r="BYA11">
            <v>40.01</v>
          </cell>
          <cell r="BYB11">
            <v>40.020000000000003</v>
          </cell>
          <cell r="BYC11">
            <v>40.03</v>
          </cell>
          <cell r="BYD11">
            <v>40.04</v>
          </cell>
          <cell r="BYE11">
            <v>40.049999999999997</v>
          </cell>
          <cell r="BYF11">
            <v>40.06</v>
          </cell>
          <cell r="BYG11">
            <v>40.07</v>
          </cell>
          <cell r="BYH11">
            <v>40.08</v>
          </cell>
          <cell r="BYI11">
            <v>40.090000000000003</v>
          </cell>
          <cell r="BYJ11">
            <v>40.1</v>
          </cell>
          <cell r="BYK11">
            <v>40.11</v>
          </cell>
          <cell r="BYL11">
            <v>40.119999999999997</v>
          </cell>
          <cell r="BYM11">
            <v>40.130000000000003</v>
          </cell>
          <cell r="BYN11">
            <v>40.14</v>
          </cell>
          <cell r="BYO11">
            <v>40.15</v>
          </cell>
          <cell r="BYP11">
            <v>40.159999999999997</v>
          </cell>
          <cell r="BYQ11">
            <v>40.17</v>
          </cell>
          <cell r="BYR11">
            <v>40.18</v>
          </cell>
          <cell r="BYS11">
            <v>40.19</v>
          </cell>
          <cell r="BYT11">
            <v>40.200000000000003</v>
          </cell>
          <cell r="BYU11">
            <v>40.21</v>
          </cell>
          <cell r="BYV11">
            <v>40.22</v>
          </cell>
          <cell r="BYW11">
            <v>40.229999999999997</v>
          </cell>
          <cell r="BYX11">
            <v>40.24</v>
          </cell>
          <cell r="BYY11">
            <v>40.25</v>
          </cell>
          <cell r="BYZ11">
            <v>40.26</v>
          </cell>
          <cell r="BZA11">
            <v>40.270000000000003</v>
          </cell>
          <cell r="BZB11">
            <v>40.28</v>
          </cell>
          <cell r="BZC11">
            <v>40.29</v>
          </cell>
          <cell r="BZD11">
            <v>40.299999999999997</v>
          </cell>
          <cell r="BZE11">
            <v>40.31</v>
          </cell>
          <cell r="BZF11">
            <v>40.32</v>
          </cell>
          <cell r="BZG11">
            <v>40.33</v>
          </cell>
          <cell r="BZH11">
            <v>40.340000000000003</v>
          </cell>
          <cell r="BZI11">
            <v>40.35</v>
          </cell>
          <cell r="BZJ11">
            <v>40.36</v>
          </cell>
          <cell r="BZK11">
            <v>40.369999999999997</v>
          </cell>
          <cell r="BZL11">
            <v>40.380000000000003</v>
          </cell>
          <cell r="BZM11">
            <v>40.39</v>
          </cell>
          <cell r="BZN11">
            <v>40.4</v>
          </cell>
          <cell r="BZO11">
            <v>40.409999999999997</v>
          </cell>
          <cell r="BZP11">
            <v>40.42</v>
          </cell>
          <cell r="BZQ11">
            <v>40.43</v>
          </cell>
          <cell r="BZR11">
            <v>40.44</v>
          </cell>
          <cell r="BZS11">
            <v>40.450000000000003</v>
          </cell>
          <cell r="BZT11">
            <v>40.46</v>
          </cell>
          <cell r="BZU11">
            <v>40.47</v>
          </cell>
          <cell r="BZV11">
            <v>40.479999999999997</v>
          </cell>
          <cell r="BZW11">
            <v>40.49</v>
          </cell>
          <cell r="BZX11">
            <v>40.5</v>
          </cell>
          <cell r="BZY11">
            <v>40.51</v>
          </cell>
          <cell r="BZZ11">
            <v>40.520000000000003</v>
          </cell>
          <cell r="CAA11">
            <v>40.53</v>
          </cell>
          <cell r="CAB11">
            <v>40.54</v>
          </cell>
          <cell r="CAC11">
            <v>40.549999999999997</v>
          </cell>
          <cell r="CAD11">
            <v>40.56</v>
          </cell>
          <cell r="CAE11">
            <v>40.57</v>
          </cell>
          <cell r="CAF11">
            <v>40.58</v>
          </cell>
          <cell r="CAG11">
            <v>40.590000000000003</v>
          </cell>
          <cell r="CAH11">
            <v>40.6</v>
          </cell>
          <cell r="CAI11">
            <v>40.61</v>
          </cell>
          <cell r="CAJ11">
            <v>40.619999999999997</v>
          </cell>
          <cell r="CAK11">
            <v>40.630000000000003</v>
          </cell>
          <cell r="CAL11">
            <v>40.64</v>
          </cell>
          <cell r="CAM11">
            <v>40.65</v>
          </cell>
          <cell r="CAN11">
            <v>40.659999999999997</v>
          </cell>
          <cell r="CAO11">
            <v>40.67</v>
          </cell>
          <cell r="CAP11">
            <v>40.68</v>
          </cell>
          <cell r="CAQ11">
            <v>40.69</v>
          </cell>
          <cell r="CAR11">
            <v>40.700000000000003</v>
          </cell>
          <cell r="CAS11">
            <v>40.71</v>
          </cell>
          <cell r="CAT11">
            <v>40.72</v>
          </cell>
          <cell r="CAU11">
            <v>40.729999999999997</v>
          </cell>
          <cell r="CAV11">
            <v>40.74</v>
          </cell>
          <cell r="CAW11">
            <v>40.75</v>
          </cell>
          <cell r="CAX11">
            <v>40.76</v>
          </cell>
          <cell r="CAY11">
            <v>40.770000000000003</v>
          </cell>
          <cell r="CAZ11">
            <v>40.78</v>
          </cell>
          <cell r="CBA11">
            <v>40.79</v>
          </cell>
          <cell r="CBB11">
            <v>40.799999999999997</v>
          </cell>
          <cell r="CBC11">
            <v>40.81</v>
          </cell>
          <cell r="CBD11">
            <v>40.82</v>
          </cell>
          <cell r="CBE11">
            <v>40.83</v>
          </cell>
          <cell r="CBF11">
            <v>40.840000000000003</v>
          </cell>
          <cell r="CBG11">
            <v>40.85</v>
          </cell>
          <cell r="CBH11">
            <v>40.86</v>
          </cell>
          <cell r="CBI11">
            <v>40.869999999999997</v>
          </cell>
          <cell r="CBJ11">
            <v>40.880000000000003</v>
          </cell>
          <cell r="CBK11">
            <v>40.89</v>
          </cell>
          <cell r="CBL11">
            <v>40.9</v>
          </cell>
          <cell r="CBM11">
            <v>40.909999999999997</v>
          </cell>
          <cell r="CBN11">
            <v>40.92</v>
          </cell>
          <cell r="CBO11">
            <v>40.93</v>
          </cell>
          <cell r="CBP11">
            <v>40.94</v>
          </cell>
          <cell r="CBQ11">
            <v>40.950000000000003</v>
          </cell>
          <cell r="CBR11">
            <v>40.96</v>
          </cell>
          <cell r="CBS11">
            <v>40.97</v>
          </cell>
          <cell r="CBT11">
            <v>40.98</v>
          </cell>
          <cell r="CBU11">
            <v>40.99</v>
          </cell>
          <cell r="CBV11">
            <v>41</v>
          </cell>
          <cell r="CBW11">
            <v>41.01</v>
          </cell>
          <cell r="CBX11">
            <v>41.02</v>
          </cell>
          <cell r="CBY11">
            <v>41.03</v>
          </cell>
          <cell r="CBZ11">
            <v>41.04</v>
          </cell>
          <cell r="CCA11">
            <v>41.05</v>
          </cell>
          <cell r="CCB11">
            <v>41.06</v>
          </cell>
          <cell r="CCC11">
            <v>41.07</v>
          </cell>
          <cell r="CCD11">
            <v>41.08</v>
          </cell>
          <cell r="CCE11">
            <v>41.09</v>
          </cell>
          <cell r="CCF11">
            <v>41.1</v>
          </cell>
          <cell r="CCG11">
            <v>41.11</v>
          </cell>
          <cell r="CCH11">
            <v>41.12</v>
          </cell>
          <cell r="CCI11">
            <v>41.13</v>
          </cell>
          <cell r="CCJ11">
            <v>41.14</v>
          </cell>
          <cell r="CCK11">
            <v>41.15</v>
          </cell>
          <cell r="CCL11">
            <v>41.16</v>
          </cell>
          <cell r="CCM11">
            <v>41.17</v>
          </cell>
          <cell r="CCN11">
            <v>41.18</v>
          </cell>
          <cell r="CCO11">
            <v>41.19</v>
          </cell>
          <cell r="CCP11">
            <v>41.2</v>
          </cell>
          <cell r="CCQ11">
            <v>41.21</v>
          </cell>
          <cell r="CCR11">
            <v>41.22</v>
          </cell>
          <cell r="CCS11">
            <v>41.23</v>
          </cell>
          <cell r="CCT11">
            <v>41.24</v>
          </cell>
          <cell r="CCU11">
            <v>41.25</v>
          </cell>
          <cell r="CCV11">
            <v>41.26</v>
          </cell>
          <cell r="CCW11">
            <v>41.27</v>
          </cell>
          <cell r="CCX11">
            <v>41.28</v>
          </cell>
          <cell r="CCY11">
            <v>41.29</v>
          </cell>
          <cell r="CCZ11">
            <v>41.3</v>
          </cell>
          <cell r="CDA11">
            <v>41.31</v>
          </cell>
          <cell r="CDB11">
            <v>41.32</v>
          </cell>
          <cell r="CDC11">
            <v>41.33</v>
          </cell>
          <cell r="CDD11">
            <v>41.34</v>
          </cell>
          <cell r="CDE11">
            <v>41.35</v>
          </cell>
          <cell r="CDF11">
            <v>41.36</v>
          </cell>
          <cell r="CDG11">
            <v>41.37</v>
          </cell>
          <cell r="CDH11">
            <v>41.38</v>
          </cell>
          <cell r="CDI11">
            <v>41.39</v>
          </cell>
          <cell r="CDJ11">
            <v>41.4</v>
          </cell>
          <cell r="CDK11">
            <v>41.41</v>
          </cell>
          <cell r="CDL11">
            <v>41.42</v>
          </cell>
          <cell r="CDM11">
            <v>41.43</v>
          </cell>
          <cell r="CDN11">
            <v>41.44</v>
          </cell>
          <cell r="CDO11">
            <v>41.45</v>
          </cell>
          <cell r="CDP11">
            <v>41.46</v>
          </cell>
          <cell r="CDQ11">
            <v>41.47</v>
          </cell>
          <cell r="CDR11">
            <v>41.48</v>
          </cell>
          <cell r="CDS11">
            <v>41.49</v>
          </cell>
          <cell r="CDT11">
            <v>41.5</v>
          </cell>
          <cell r="CDU11">
            <v>41.51</v>
          </cell>
          <cell r="CDV11">
            <v>41.52</v>
          </cell>
          <cell r="CDW11">
            <v>41.53</v>
          </cell>
          <cell r="CDX11">
            <v>41.54</v>
          </cell>
          <cell r="CDY11">
            <v>41.55</v>
          </cell>
          <cell r="CDZ11">
            <v>41.56</v>
          </cell>
          <cell r="CEA11">
            <v>41.57</v>
          </cell>
          <cell r="CEB11">
            <v>41.58</v>
          </cell>
          <cell r="CEC11">
            <v>41.59</v>
          </cell>
          <cell r="CED11">
            <v>41.6</v>
          </cell>
          <cell r="CEE11">
            <v>41.61</v>
          </cell>
          <cell r="CEF11">
            <v>41.62</v>
          </cell>
          <cell r="CEG11">
            <v>41.63</v>
          </cell>
          <cell r="CEH11">
            <v>41.64</v>
          </cell>
          <cell r="CEI11">
            <v>41.65</v>
          </cell>
          <cell r="CEJ11">
            <v>41.66</v>
          </cell>
          <cell r="CEK11">
            <v>41.67</v>
          </cell>
          <cell r="CEL11">
            <v>41.68</v>
          </cell>
          <cell r="CEM11">
            <v>41.69</v>
          </cell>
          <cell r="CEN11">
            <v>41.7</v>
          </cell>
          <cell r="CEO11">
            <v>41.71</v>
          </cell>
          <cell r="CEP11">
            <v>41.72</v>
          </cell>
          <cell r="CEQ11">
            <v>41.73</v>
          </cell>
          <cell r="CER11">
            <v>41.74</v>
          </cell>
          <cell r="CES11">
            <v>41.75</v>
          </cell>
          <cell r="CET11">
            <v>41.76</v>
          </cell>
          <cell r="CEU11">
            <v>41.77</v>
          </cell>
          <cell r="CEV11">
            <v>41.78</v>
          </cell>
          <cell r="CEW11">
            <v>41.79</v>
          </cell>
          <cell r="CEX11">
            <v>41.8</v>
          </cell>
          <cell r="CEY11">
            <v>41.81</v>
          </cell>
          <cell r="CEZ11">
            <v>41.82</v>
          </cell>
          <cell r="CFA11">
            <v>41.83</v>
          </cell>
          <cell r="CFB11">
            <v>41.84</v>
          </cell>
          <cell r="CFC11">
            <v>41.85</v>
          </cell>
          <cell r="CFD11">
            <v>41.86</v>
          </cell>
          <cell r="CFE11">
            <v>41.87</v>
          </cell>
          <cell r="CFF11">
            <v>41.88</v>
          </cell>
          <cell r="CFG11">
            <v>41.89</v>
          </cell>
          <cell r="CFH11">
            <v>41.9</v>
          </cell>
          <cell r="CFI11">
            <v>41.91</v>
          </cell>
          <cell r="CFJ11">
            <v>41.92</v>
          </cell>
          <cell r="CFK11">
            <v>41.93</v>
          </cell>
          <cell r="CFL11">
            <v>41.94</v>
          </cell>
          <cell r="CFM11">
            <v>41.95</v>
          </cell>
          <cell r="CFN11">
            <v>41.96</v>
          </cell>
          <cell r="CFO11">
            <v>41.97</v>
          </cell>
          <cell r="CFP11">
            <v>41.98</v>
          </cell>
          <cell r="CFQ11">
            <v>41.99</v>
          </cell>
          <cell r="CFR11">
            <v>42</v>
          </cell>
          <cell r="CFS11">
            <v>42.01</v>
          </cell>
          <cell r="CFT11">
            <v>42.02</v>
          </cell>
          <cell r="CFU11">
            <v>42.03</v>
          </cell>
          <cell r="CFV11">
            <v>42.04</v>
          </cell>
          <cell r="CFW11">
            <v>42.05</v>
          </cell>
          <cell r="CFX11">
            <v>42.06</v>
          </cell>
          <cell r="CFY11">
            <v>42.07</v>
          </cell>
          <cell r="CFZ11">
            <v>42.08</v>
          </cell>
          <cell r="CGA11">
            <v>42.09</v>
          </cell>
          <cell r="CGB11">
            <v>42.1</v>
          </cell>
          <cell r="CGC11">
            <v>42.11</v>
          </cell>
          <cell r="CGD11">
            <v>42.12</v>
          </cell>
          <cell r="CGE11">
            <v>42.13</v>
          </cell>
          <cell r="CGF11">
            <v>42.14</v>
          </cell>
          <cell r="CGG11">
            <v>42.15</v>
          </cell>
          <cell r="CGH11">
            <v>42.16</v>
          </cell>
          <cell r="CGI11">
            <v>42.17</v>
          </cell>
          <cell r="CGJ11">
            <v>42.18</v>
          </cell>
          <cell r="CGK11">
            <v>42.19</v>
          </cell>
          <cell r="CGL11">
            <v>42.2</v>
          </cell>
          <cell r="CGM11">
            <v>42.21</v>
          </cell>
          <cell r="CGN11">
            <v>42.22</v>
          </cell>
          <cell r="CGO11">
            <v>42.23</v>
          </cell>
          <cell r="CGP11">
            <v>42.24</v>
          </cell>
          <cell r="CGQ11">
            <v>42.25</v>
          </cell>
          <cell r="CGR11">
            <v>42.26</v>
          </cell>
          <cell r="CGS11">
            <v>42.27</v>
          </cell>
          <cell r="CGT11">
            <v>42.28</v>
          </cell>
          <cell r="CGU11">
            <v>42.29</v>
          </cell>
          <cell r="CGV11">
            <v>42.3</v>
          </cell>
          <cell r="CGW11">
            <v>42.31</v>
          </cell>
          <cell r="CGX11">
            <v>42.32</v>
          </cell>
          <cell r="CGY11">
            <v>42.33</v>
          </cell>
          <cell r="CGZ11">
            <v>42.34</v>
          </cell>
          <cell r="CHA11">
            <v>42.35</v>
          </cell>
          <cell r="CHB11">
            <v>42.36</v>
          </cell>
          <cell r="CHC11">
            <v>42.37</v>
          </cell>
          <cell r="CHD11">
            <v>42.38</v>
          </cell>
          <cell r="CHE11">
            <v>42.39</v>
          </cell>
          <cell r="CHF11">
            <v>42.4</v>
          </cell>
          <cell r="CHG11">
            <v>42.41</v>
          </cell>
          <cell r="CHH11">
            <v>42.42</v>
          </cell>
          <cell r="CHI11">
            <v>42.43</v>
          </cell>
          <cell r="CHJ11">
            <v>42.44</v>
          </cell>
          <cell r="CHK11">
            <v>42.45</v>
          </cell>
          <cell r="CHL11">
            <v>42.46</v>
          </cell>
          <cell r="CHM11">
            <v>42.47</v>
          </cell>
          <cell r="CHN11">
            <v>42.48</v>
          </cell>
          <cell r="CHO11">
            <v>42.49</v>
          </cell>
          <cell r="CHP11">
            <v>42.5</v>
          </cell>
          <cell r="CHQ11">
            <v>42.51</v>
          </cell>
          <cell r="CHR11">
            <v>42.52</v>
          </cell>
          <cell r="CHS11">
            <v>42.53</v>
          </cell>
          <cell r="CHT11">
            <v>42.54</v>
          </cell>
          <cell r="CHU11">
            <v>42.55</v>
          </cell>
          <cell r="CHV11">
            <v>42.56</v>
          </cell>
          <cell r="CHW11">
            <v>42.57</v>
          </cell>
          <cell r="CHX11">
            <v>42.58</v>
          </cell>
          <cell r="CHY11">
            <v>42.59</v>
          </cell>
          <cell r="CHZ11">
            <v>42.6</v>
          </cell>
          <cell r="CIA11">
            <v>42.61</v>
          </cell>
          <cell r="CIB11">
            <v>42.62</v>
          </cell>
          <cell r="CIC11">
            <v>42.63</v>
          </cell>
          <cell r="CID11">
            <v>42.64</v>
          </cell>
          <cell r="CIE11">
            <v>42.65</v>
          </cell>
          <cell r="CIF11">
            <v>42.66</v>
          </cell>
          <cell r="CIG11">
            <v>42.67</v>
          </cell>
          <cell r="CIH11">
            <v>42.68</v>
          </cell>
          <cell r="CII11">
            <v>42.69</v>
          </cell>
          <cell r="CIJ11">
            <v>42.7</v>
          </cell>
          <cell r="CIK11">
            <v>42.71</v>
          </cell>
          <cell r="CIL11">
            <v>42.72</v>
          </cell>
          <cell r="CIM11">
            <v>42.73</v>
          </cell>
          <cell r="CIN11">
            <v>42.74</v>
          </cell>
          <cell r="CIO11">
            <v>42.75</v>
          </cell>
          <cell r="CIP11">
            <v>42.76</v>
          </cell>
          <cell r="CIQ11">
            <v>42.77</v>
          </cell>
          <cell r="CIR11">
            <v>42.78</v>
          </cell>
          <cell r="CIS11">
            <v>42.79</v>
          </cell>
          <cell r="CIT11">
            <v>42.8</v>
          </cell>
          <cell r="CIU11">
            <v>42.81</v>
          </cell>
          <cell r="CIV11">
            <v>42.82</v>
          </cell>
          <cell r="CIW11">
            <v>42.83</v>
          </cell>
          <cell r="CIX11">
            <v>42.84</v>
          </cell>
          <cell r="CIY11">
            <v>42.85</v>
          </cell>
          <cell r="CIZ11">
            <v>42.86</v>
          </cell>
          <cell r="CJA11">
            <v>42.87</v>
          </cell>
          <cell r="CJB11">
            <v>42.88</v>
          </cell>
          <cell r="CJC11">
            <v>42.89</v>
          </cell>
          <cell r="CJD11">
            <v>42.9</v>
          </cell>
          <cell r="CJE11">
            <v>42.91</v>
          </cell>
          <cell r="CJF11">
            <v>42.92</v>
          </cell>
          <cell r="CJG11">
            <v>42.93</v>
          </cell>
          <cell r="CJH11">
            <v>42.94</v>
          </cell>
          <cell r="CJI11">
            <v>42.95</v>
          </cell>
          <cell r="CJJ11">
            <v>42.96</v>
          </cell>
          <cell r="CJK11">
            <v>42.97</v>
          </cell>
          <cell r="CJL11">
            <v>42.98</v>
          </cell>
          <cell r="CJM11">
            <v>42.99</v>
          </cell>
          <cell r="CJN11">
            <v>43</v>
          </cell>
          <cell r="CJO11">
            <v>43.01</v>
          </cell>
          <cell r="CJP11">
            <v>43.02</v>
          </cell>
          <cell r="CJQ11">
            <v>43.03</v>
          </cell>
          <cell r="CJR11">
            <v>43.04</v>
          </cell>
          <cell r="CJS11">
            <v>43.05</v>
          </cell>
          <cell r="CJT11">
            <v>43.06</v>
          </cell>
          <cell r="CJU11">
            <v>43.07</v>
          </cell>
          <cell r="CJV11">
            <v>43.08</v>
          </cell>
          <cell r="CJW11">
            <v>43.09</v>
          </cell>
          <cell r="CJX11">
            <v>43.1</v>
          </cell>
          <cell r="CJY11">
            <v>43.11</v>
          </cell>
          <cell r="CJZ11">
            <v>43.12</v>
          </cell>
          <cell r="CKA11">
            <v>43.13</v>
          </cell>
          <cell r="CKB11">
            <v>43.14</v>
          </cell>
          <cell r="CKC11">
            <v>43.15</v>
          </cell>
          <cell r="CKD11">
            <v>43.16</v>
          </cell>
          <cell r="CKE11">
            <v>43.17</v>
          </cell>
          <cell r="CKF11">
            <v>43.18</v>
          </cell>
          <cell r="CKG11">
            <v>43.19</v>
          </cell>
          <cell r="CKH11">
            <v>43.2</v>
          </cell>
          <cell r="CKI11">
            <v>43.21</v>
          </cell>
          <cell r="CKJ11">
            <v>43.22</v>
          </cell>
          <cell r="CKK11">
            <v>43.23</v>
          </cell>
          <cell r="CKL11">
            <v>43.24</v>
          </cell>
          <cell r="CKM11">
            <v>43.25</v>
          </cell>
          <cell r="CKN11">
            <v>43.26</v>
          </cell>
          <cell r="CKO11">
            <v>43.27</v>
          </cell>
          <cell r="CKP11">
            <v>43.28</v>
          </cell>
          <cell r="CKQ11">
            <v>43.29</v>
          </cell>
          <cell r="CKR11">
            <v>43.3</v>
          </cell>
          <cell r="CKS11">
            <v>43.31</v>
          </cell>
          <cell r="CKT11">
            <v>43.32</v>
          </cell>
          <cell r="CKU11">
            <v>43.33</v>
          </cell>
          <cell r="CKV11">
            <v>43.34</v>
          </cell>
          <cell r="CKW11">
            <v>43.35</v>
          </cell>
          <cell r="CKX11">
            <v>43.36</v>
          </cell>
          <cell r="CKY11">
            <v>43.37</v>
          </cell>
          <cell r="CKZ11">
            <v>43.38</v>
          </cell>
          <cell r="CLA11">
            <v>43.39</v>
          </cell>
          <cell r="CLB11">
            <v>43.4</v>
          </cell>
          <cell r="CLC11">
            <v>43.41</v>
          </cell>
          <cell r="CLD11">
            <v>43.42</v>
          </cell>
          <cell r="CLE11">
            <v>43.43</v>
          </cell>
          <cell r="CLF11">
            <v>43.44</v>
          </cell>
          <cell r="CLG11">
            <v>43.45</v>
          </cell>
          <cell r="CLH11">
            <v>43.46</v>
          </cell>
          <cell r="CLI11">
            <v>43.47</v>
          </cell>
          <cell r="CLJ11">
            <v>43.48</v>
          </cell>
          <cell r="CLK11">
            <v>43.49</v>
          </cell>
          <cell r="CLL11">
            <v>43.5</v>
          </cell>
          <cell r="CLM11">
            <v>43.51</v>
          </cell>
          <cell r="CLN11">
            <v>43.52</v>
          </cell>
          <cell r="CLO11">
            <v>43.53</v>
          </cell>
          <cell r="CLP11">
            <v>43.54</v>
          </cell>
          <cell r="CLQ11">
            <v>43.55</v>
          </cell>
          <cell r="CLR11">
            <v>43.56</v>
          </cell>
          <cell r="CLS11">
            <v>43.57</v>
          </cell>
          <cell r="CLT11">
            <v>43.58</v>
          </cell>
          <cell r="CLU11">
            <v>43.59</v>
          </cell>
          <cell r="CLV11">
            <v>43.6</v>
          </cell>
          <cell r="CLW11">
            <v>43.61</v>
          </cell>
          <cell r="CLX11">
            <v>43.62</v>
          </cell>
          <cell r="CLY11">
            <v>43.63</v>
          </cell>
          <cell r="CLZ11">
            <v>43.64</v>
          </cell>
          <cell r="CMA11">
            <v>43.65</v>
          </cell>
          <cell r="CMB11">
            <v>43.66</v>
          </cell>
          <cell r="CMC11">
            <v>43.67</v>
          </cell>
          <cell r="CMD11">
            <v>43.68</v>
          </cell>
          <cell r="CME11">
            <v>43.69</v>
          </cell>
          <cell r="CMF11">
            <v>43.7</v>
          </cell>
          <cell r="CMG11">
            <v>43.71</v>
          </cell>
          <cell r="CMH11">
            <v>43.72</v>
          </cell>
          <cell r="CMI11">
            <v>43.73</v>
          </cell>
          <cell r="CMJ11">
            <v>43.74</v>
          </cell>
          <cell r="CMK11">
            <v>43.75</v>
          </cell>
          <cell r="CML11">
            <v>43.76</v>
          </cell>
          <cell r="CMM11">
            <v>43.77</v>
          </cell>
          <cell r="CMN11">
            <v>43.78</v>
          </cell>
          <cell r="CMO11">
            <v>43.79</v>
          </cell>
          <cell r="CMP11">
            <v>43.8</v>
          </cell>
          <cell r="CMQ11">
            <v>43.81</v>
          </cell>
          <cell r="CMR11">
            <v>43.82</v>
          </cell>
          <cell r="CMS11">
            <v>43.83</v>
          </cell>
          <cell r="CMT11">
            <v>43.84</v>
          </cell>
          <cell r="CMU11">
            <v>43.85</v>
          </cell>
          <cell r="CMV11">
            <v>43.86</v>
          </cell>
          <cell r="CMW11">
            <v>43.87</v>
          </cell>
          <cell r="CMX11">
            <v>43.88</v>
          </cell>
          <cell r="CMY11">
            <v>43.89</v>
          </cell>
          <cell r="CMZ11">
            <v>43.9</v>
          </cell>
          <cell r="CNA11">
            <v>43.91</v>
          </cell>
          <cell r="CNB11">
            <v>43.92</v>
          </cell>
          <cell r="CNC11">
            <v>43.93</v>
          </cell>
          <cell r="CND11">
            <v>43.94</v>
          </cell>
          <cell r="CNE11">
            <v>43.95</v>
          </cell>
          <cell r="CNF11">
            <v>43.96</v>
          </cell>
          <cell r="CNG11">
            <v>43.97</v>
          </cell>
          <cell r="CNH11">
            <v>43.98</v>
          </cell>
          <cell r="CNI11">
            <v>43.99</v>
          </cell>
          <cell r="CNJ11">
            <v>44</v>
          </cell>
          <cell r="CNK11">
            <v>44.01</v>
          </cell>
          <cell r="CNL11">
            <v>44.02</v>
          </cell>
          <cell r="CNM11">
            <v>44.03</v>
          </cell>
          <cell r="CNN11">
            <v>44.04</v>
          </cell>
          <cell r="CNO11">
            <v>44.05</v>
          </cell>
          <cell r="CNP11">
            <v>44.06</v>
          </cell>
          <cell r="CNQ11">
            <v>44.07</v>
          </cell>
          <cell r="CNR11">
            <v>44.08</v>
          </cell>
          <cell r="CNS11">
            <v>44.09</v>
          </cell>
          <cell r="CNT11">
            <v>44.1</v>
          </cell>
          <cell r="CNU11">
            <v>44.11</v>
          </cell>
          <cell r="CNV11">
            <v>44.12</v>
          </cell>
          <cell r="CNW11">
            <v>44.13</v>
          </cell>
          <cell r="CNX11">
            <v>44.14</v>
          </cell>
          <cell r="CNY11">
            <v>44.15</v>
          </cell>
          <cell r="CNZ11">
            <v>44.16</v>
          </cell>
          <cell r="COA11">
            <v>44.17</v>
          </cell>
          <cell r="COB11">
            <v>44.18</v>
          </cell>
          <cell r="COC11">
            <v>44.19</v>
          </cell>
          <cell r="COD11">
            <v>44.2</v>
          </cell>
          <cell r="COE11">
            <v>44.21</v>
          </cell>
          <cell r="COF11">
            <v>44.22</v>
          </cell>
          <cell r="COG11">
            <v>44.23</v>
          </cell>
          <cell r="COH11">
            <v>44.24</v>
          </cell>
          <cell r="COI11">
            <v>44.25</v>
          </cell>
          <cell r="COJ11">
            <v>44.26</v>
          </cell>
          <cell r="COK11">
            <v>44.27</v>
          </cell>
          <cell r="COL11">
            <v>44.28</v>
          </cell>
          <cell r="COM11">
            <v>44.29</v>
          </cell>
          <cell r="CON11">
            <v>44.3</v>
          </cell>
          <cell r="COO11">
            <v>44.31</v>
          </cell>
          <cell r="COP11">
            <v>44.32</v>
          </cell>
          <cell r="COQ11">
            <v>44.33</v>
          </cell>
          <cell r="COR11">
            <v>44.34</v>
          </cell>
          <cell r="COS11">
            <v>44.35</v>
          </cell>
          <cell r="COT11">
            <v>44.36</v>
          </cell>
          <cell r="COU11">
            <v>44.37</v>
          </cell>
          <cell r="COV11">
            <v>44.38</v>
          </cell>
          <cell r="COW11">
            <v>44.39</v>
          </cell>
          <cell r="COX11">
            <v>44.4</v>
          </cell>
          <cell r="COY11">
            <v>44.41</v>
          </cell>
          <cell r="COZ11">
            <v>44.42</v>
          </cell>
          <cell r="CPA11">
            <v>44.43</v>
          </cell>
          <cell r="CPB11">
            <v>44.44</v>
          </cell>
          <cell r="CPC11">
            <v>44.45</v>
          </cell>
          <cell r="CPD11">
            <v>44.46</v>
          </cell>
          <cell r="CPE11">
            <v>44.47</v>
          </cell>
          <cell r="CPF11">
            <v>44.48</v>
          </cell>
          <cell r="CPG11">
            <v>44.49</v>
          </cell>
          <cell r="CPH11">
            <v>44.5</v>
          </cell>
          <cell r="CPI11">
            <v>44.51</v>
          </cell>
          <cell r="CPJ11">
            <v>44.52</v>
          </cell>
          <cell r="CPK11">
            <v>44.53</v>
          </cell>
          <cell r="CPL11">
            <v>44.54</v>
          </cell>
          <cell r="CPM11">
            <v>44.55</v>
          </cell>
          <cell r="CPN11">
            <v>44.56</v>
          </cell>
          <cell r="CPO11">
            <v>44.57</v>
          </cell>
          <cell r="CPP11">
            <v>44.58</v>
          </cell>
          <cell r="CPQ11">
            <v>44.59</v>
          </cell>
          <cell r="CPR11">
            <v>44.6</v>
          </cell>
          <cell r="CPS11">
            <v>44.61</v>
          </cell>
          <cell r="CPT11">
            <v>44.62</v>
          </cell>
          <cell r="CPU11">
            <v>44.63</v>
          </cell>
          <cell r="CPV11">
            <v>44.64</v>
          </cell>
          <cell r="CPW11">
            <v>44.65</v>
          </cell>
          <cell r="CPX11">
            <v>44.66</v>
          </cell>
          <cell r="CPY11">
            <v>44.67</v>
          </cell>
          <cell r="CPZ11">
            <v>44.68</v>
          </cell>
          <cell r="CQA11">
            <v>44.69</v>
          </cell>
          <cell r="CQB11">
            <v>44.7</v>
          </cell>
          <cell r="CQC11">
            <v>44.71</v>
          </cell>
          <cell r="CQD11">
            <v>44.72</v>
          </cell>
          <cell r="CQE11">
            <v>44.73</v>
          </cell>
          <cell r="CQF11">
            <v>44.74</v>
          </cell>
          <cell r="CQG11">
            <v>44.75</v>
          </cell>
          <cell r="CQH11">
            <v>44.76</v>
          </cell>
          <cell r="CQI11">
            <v>44.77</v>
          </cell>
          <cell r="CQJ11">
            <v>44.78</v>
          </cell>
          <cell r="CQK11">
            <v>44.79</v>
          </cell>
          <cell r="CQL11">
            <v>44.8</v>
          </cell>
          <cell r="CQM11">
            <v>44.81</v>
          </cell>
          <cell r="CQN11">
            <v>44.82</v>
          </cell>
          <cell r="CQO11">
            <v>44.83</v>
          </cell>
          <cell r="CQP11">
            <v>44.84</v>
          </cell>
          <cell r="CQQ11">
            <v>44.85</v>
          </cell>
          <cell r="CQR11">
            <v>44.86</v>
          </cell>
          <cell r="CQS11">
            <v>44.87</v>
          </cell>
          <cell r="CQT11">
            <v>44.88</v>
          </cell>
          <cell r="CQU11">
            <v>44.89</v>
          </cell>
          <cell r="CQV11">
            <v>44.9</v>
          </cell>
          <cell r="CQW11">
            <v>44.91</v>
          </cell>
          <cell r="CQX11">
            <v>44.92</v>
          </cell>
          <cell r="CQY11">
            <v>44.93</v>
          </cell>
          <cell r="CQZ11">
            <v>44.94</v>
          </cell>
          <cell r="CRA11">
            <v>44.95</v>
          </cell>
          <cell r="CRB11">
            <v>44.96</v>
          </cell>
          <cell r="CRC11">
            <v>44.97</v>
          </cell>
          <cell r="CRD11">
            <v>44.98</v>
          </cell>
          <cell r="CRE11">
            <v>44.99</v>
          </cell>
          <cell r="CRF11">
            <v>45</v>
          </cell>
        </row>
        <row r="12">
          <cell r="B12" t="str">
            <v>INCLUDED)</v>
          </cell>
          <cell r="C12" t="str">
            <v>EXCLUDED)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sum"/>
      <sheetName val="DCF_CAPM"/>
      <sheetName val="GLC_Market Approach"/>
      <sheetName val="BS_h&amp;p"/>
      <sheetName val="IS_h&amp;p"/>
      <sheetName val="WACC"/>
      <sheetName val="WorkCap"/>
      <sheetName val="Fin_Anlys"/>
      <sheetName val="GLC_ratios_Sept"/>
      <sheetName val="|"/>
      <sheetName val="drivers"/>
      <sheetName val="CapEx-Depr"/>
      <sheetName val="Fin_Investments"/>
      <sheetName val="BS_cz_CEZ_unconsol"/>
      <sheetName val="GLC_ratios_Jun"/>
      <sheetName val="Notes"/>
      <sheetName val="IS_cz_CEZ_unconsol"/>
      <sheetName val="IAS_Conv"/>
      <sheetName val="Operating Data"/>
      <sheetName val="DCF_CAPM_old"/>
      <sheetName val="||"/>
      <sheetName val="market"/>
      <sheetName val="control"/>
      <sheetName val="Read me first"/>
      <sheetName val="Master Inputs Start here"/>
      <sheetName val="Ф1 АТЭЦ"/>
      <sheetName val="Ф1 ЕТЭЦ"/>
      <sheetName val="Ф1 НГРЭС"/>
      <sheetName val="Ф1 ПТЭЦ"/>
      <sheetName val="Ф1 ЩГРЭС"/>
      <sheetName val="Ф 2 АТЭЦ"/>
      <sheetName val="Ф2 ЕТЭЦ"/>
      <sheetName val="Ф 2 НГРЭС"/>
      <sheetName val="Ф2 ПТЭЦ"/>
      <sheetName val="Ф 2 ЩГРЭС"/>
      <sheetName val="HIS"/>
      <sheetName val="HBS"/>
      <sheetName val="FRA"/>
      <sheetName val="GLC_data"/>
      <sheetName val="Ввод данных ЩГРЭС"/>
      <sheetName val="Ввод общих данных"/>
      <sheetName val="Расчет тарифов и выручки"/>
      <sheetName val="CapEx_Depr"/>
      <sheetName val="DCF"/>
      <sheetName val="GLC"/>
      <sheetName val="Assets"/>
      <sheetName val="Liab"/>
      <sheetName val="AAM"/>
      <sheetName val="Master Input Sheet Start Here"/>
      <sheetName val="HBS initial"/>
      <sheetName val="Inputs Sheet"/>
      <sheetName val="Ввод данных Эл.2"/>
      <sheetName val="Ввод данных Эл. 1"/>
      <sheetName val="Ввод данных Эл.3"/>
      <sheetName val="Ввод данных Эл.4"/>
      <sheetName val="Ввод данных Эл. 5"/>
      <sheetName val="HIS initial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Опции"/>
      <sheetName val="Проект"/>
      <sheetName val="Анализ"/>
      <sheetName val="Cost Allocation"/>
      <sheetName val="предприятия"/>
      <sheetName val="Классиф_"/>
      <sheetName val="Grouplist"/>
      <sheetName val="Инфо"/>
      <sheetName val="Поправки"/>
      <sheetName val="XLR_NoRangeSheet"/>
      <sheetName val="Ф1 Актив 1-2"/>
      <sheetName val="незав. Домодедово"/>
      <sheetName val="Ф1"/>
      <sheetName val="60 счет"/>
      <sheetName val="Balance"/>
      <sheetName val="Inputs"/>
      <sheetName val="Предположения КАС"/>
      <sheetName val="Ст"/>
      <sheetName val="CEZ_Model_16_m"/>
      <sheetName val="0_33"/>
      <sheetName val="Акты дебиторов"/>
      <sheetName val="RAS BS+"/>
      <sheetName val="VAT"/>
      <sheetName val="Допущения"/>
      <sheetName val="Долг"/>
      <sheetName val="ПРР"/>
      <sheetName val="Ф-1"/>
      <sheetName val="Справочники"/>
      <sheetName val="Natl Consult Reg."/>
      <sheetName val="Balance sheet"/>
      <sheetName val="Data"/>
      <sheetName val="Корр-ка_на_сост"/>
      <sheetName val="GLC_Market_Approach"/>
      <sheetName val="Operating_Data"/>
      <sheetName val="Read_me_first"/>
      <sheetName val="Master_Inputs_Start_here"/>
      <sheetName val="Ф1_АТЭЦ"/>
      <sheetName val="Ф1_ЕТЭЦ"/>
      <sheetName val="Ф1_НГРЭС"/>
      <sheetName val="Ф1_ПТЭЦ"/>
      <sheetName val="Ф1_ЩГРЭС"/>
      <sheetName val="Ф_2_АТЭЦ"/>
      <sheetName val="Ф2_ЕТЭЦ"/>
      <sheetName val="Ф_2_НГРЭС"/>
      <sheetName val="Ф2_ПТЭЦ"/>
      <sheetName val="Ф_2_ЩГРЭС"/>
      <sheetName val="Ввод_данных_ЩГРЭС"/>
      <sheetName val="Ввод_общих_данных"/>
      <sheetName val="Расчет_тарифов_и_выручки"/>
      <sheetName val="Master_Input_Sheet_Start_Here"/>
      <sheetName val="HBS_initial"/>
      <sheetName val="Inputs_Sheet"/>
      <sheetName val="Ввод_данных_Эл_2"/>
      <sheetName val="Ввод_данных_Эл__1"/>
      <sheetName val="Ввод_данных_Эл_3"/>
      <sheetName val="Ввод_данных_Эл_4"/>
      <sheetName val="Ввод_данных_Эл__5"/>
      <sheetName val="HIS_initial"/>
      <sheetName val="Производство_электроэнергии"/>
      <sheetName val="Т19_1"/>
      <sheetName val="Cost_Allocation"/>
      <sheetName val="Glossary"/>
      <sheetName val="Rev"/>
      <sheetName val="затр_подх"/>
      <sheetName val="Смета"/>
      <sheetName val="6.Продажа квартир"/>
      <sheetName val="3.ЗАТРАТЫ"/>
      <sheetName val="Аренда Торговля"/>
      <sheetName val="Аренда СТО"/>
      <sheetName val="Дисконт"/>
      <sheetName val="общее"/>
      <sheetName val="исходное"/>
      <sheetName val="ДП_пессимист "/>
      <sheetName val="Содержание"/>
      <sheetName val="Исх_данные"/>
      <sheetName val="Потоки"/>
      <sheetName val="свед"/>
      <sheetName val="MGSN"/>
      <sheetName val="base-futur2"/>
      <sheetName val="прогноз"/>
      <sheetName val="номенк-будет-п"/>
      <sheetName val="общие сведения"/>
      <sheetName val="Док+Исх"/>
      <sheetName val="исход-итог"/>
      <sheetName val="ТЭП"/>
      <sheetName val="Метод остатка"/>
      <sheetName val="Brif_zdanie"/>
      <sheetName val="Выписка_РФИ"/>
      <sheetName val="Имущество_элементы"/>
      <sheetName val="констр"/>
      <sheetName val="график01.09.02"/>
      <sheetName val="график строительства"/>
      <sheetName val="исх 1"/>
      <sheetName val="СП-земля"/>
      <sheetName val="ОСЗ"/>
      <sheetName val="1.ИСХ "/>
      <sheetName val="9.ДП"/>
      <sheetName val="FES"/>
      <sheetName val="стр-во склад"/>
      <sheetName val="Сведение объект"/>
      <sheetName val="общие данные"/>
      <sheetName val="Исходник"/>
      <sheetName val="14.ДП"/>
      <sheetName val="7.ЗУ ГУИОН!"/>
      <sheetName val="Компания"/>
      <sheetName val="Сумм"/>
      <sheetName val="Assumpt."/>
      <sheetName val="Valspar"/>
      <sheetName val="FX Adjustment"/>
      <sheetName val="BDG"/>
      <sheetName val="Paths"/>
      <sheetName val="INDEX"/>
      <sheetName val="Коэф_выр-ки"/>
      <sheetName val="Коэф_затрат"/>
      <sheetName val="comps"/>
      <sheetName val="А_Произв-во"/>
      <sheetName val="вводные"/>
      <sheetName val="Коэф-ты"/>
      <sheetName val="Sheet11"/>
      <sheetName val="Лист1"/>
      <sheetName val="60_счет"/>
      <sheetName val="BISales"/>
      <sheetName val="Статьи БДДС"/>
      <sheetName val="списки"/>
      <sheetName val="TREND_tengis&amp;emba"/>
      <sheetName val="стр.145 рос. исп"/>
      <sheetName val="Share Price 2002"/>
      <sheetName val="UNITSCHD"/>
      <sheetName val="PriceSummary"/>
      <sheetName val="ЗУ_торг"/>
      <sheetName val="Sheet5"/>
      <sheetName val="Assumptions"/>
      <sheetName val="ЗП"/>
      <sheetName val="ЗУ 2015"/>
      <sheetName val="Location (Naming)"/>
      <sheetName val="ProductBundleDefinition"/>
      <sheetName val="Location Handling"/>
      <sheetName val="ProductBundle (Naming)"/>
      <sheetName val="Location Cap"/>
      <sheetName val="ProcessMode Coefficients"/>
      <sheetName val="DEPR_NEW"/>
      <sheetName val="BS_h&amp;#38;p"/>
      <sheetName val="IS_h&amp;#38;p"/>
      <sheetName val="TREND_tengis&amp;#38;emba"/>
      <sheetName val="Doc_Name"/>
      <sheetName val="Спис_Объекты_недв"/>
      <sheetName val="восст"/>
      <sheetName val="1a. Beta extract"/>
      <sheetName val="сравнение по удаленности"/>
      <sheetName val="Аренда"/>
      <sheetName val="ИнвОпись"/>
      <sheetName val="Sheet1"/>
      <sheetName val="BS_h_p"/>
      <sheetName val="IS_h_p"/>
      <sheetName val="Source"/>
      <sheetName val="Группы"/>
      <sheetName val="Аналог 2"/>
      <sheetName val="X"/>
      <sheetName val="X1"/>
      <sheetName val="1.ИСХ"/>
      <sheetName val="документы Кириши"/>
      <sheetName val="Резервы"/>
      <sheetName val="Сведение_объект"/>
      <sheetName val="общие_данные"/>
      <sheetName val="Аренда_Торговля"/>
      <sheetName val="Аренда_СТО"/>
      <sheetName val="график01_09_02"/>
      <sheetName val="Метод_остатка"/>
      <sheetName val="14_ДП"/>
      <sheetName val="1_ИСХ_"/>
      <sheetName val="7_ЗУ_ГУИОН!"/>
      <sheetName val="исх_1"/>
      <sheetName val="1_ИСХ"/>
      <sheetName val="документы_Кириши"/>
      <sheetName val="VFI"/>
      <sheetName val="LTRate"/>
      <sheetName val="Ки"/>
      <sheetName val="Regions"/>
      <sheetName val="Tab1"/>
      <sheetName val="Tab2-X"/>
      <sheetName val="Tab2-1"/>
      <sheetName val="Tab3"/>
      <sheetName val="CAD"/>
      <sheetName val="Титул"/>
      <sheetName val="2006 $"/>
      <sheetName val="А5"/>
      <sheetName val="RAS_BS+"/>
      <sheetName val="незав__Домодедово"/>
      <sheetName val="Предположения_КАС"/>
      <sheetName val="Natl_Consult_Reg_"/>
      <sheetName val="Balance_sheet"/>
      <sheetName val="+5610.04"/>
      <sheetName val="Кедровский"/>
      <sheetName val="Audit Results"/>
      <sheetName val="Audit Results Upper Stratum"/>
      <sheetName val="Planning"/>
      <sheetName val="Population Characteristics"/>
      <sheetName val="регион"/>
      <sheetName val="в тенге"/>
      <sheetName val="7.1"/>
      <sheetName val="6НК-cт."/>
      <sheetName val="Proforma 2010"/>
      <sheetName val="МОЭСК_РЭТО"/>
      <sheetName val="ДЗ_КЗ"/>
      <sheetName val="Регионы"/>
      <sheetName val="Баланс ээ"/>
      <sheetName val="Баланс мощности"/>
      <sheetName val="ЭСО"/>
      <sheetName val="Справочник"/>
      <sheetName val="Рег генер"/>
      <sheetName val="сети"/>
      <sheetName val="regs"/>
      <sheetName val="Свод"/>
      <sheetName val="Workings"/>
      <sheetName val="Macroeconomic Assumptions"/>
      <sheetName val="Income Statement"/>
      <sheetName val="Offsets &amp; Other Costs"/>
      <sheetName val="Фин.вложения"/>
      <sheetName val="Util Penalty"/>
      <sheetName val="BK_FRP"/>
      <sheetName val="BK cast h"/>
      <sheetName val="EEP RCNs"/>
      <sheetName val="SMZ_FRP"/>
      <sheetName val="УФ-61"/>
      <sheetName val="Страхование имущества"/>
      <sheetName val="Диаграммы"/>
      <sheetName val="Баз предп"/>
      <sheetName val="Master Inputs"/>
      <sheetName val="GLC_Market_Approach1"/>
      <sheetName val="Operating_Data1"/>
      <sheetName val="Read_me_first1"/>
      <sheetName val="Master_Inputs_Start_here1"/>
      <sheetName val="Ф1_АТЭЦ1"/>
      <sheetName val="Ф1_ЕТЭЦ1"/>
      <sheetName val="Ф1_НГРЭС1"/>
      <sheetName val="Ф1_ПТЭЦ1"/>
      <sheetName val="Ф1_ЩГРЭС1"/>
      <sheetName val="Ф_2_АТЭЦ1"/>
      <sheetName val="Ф2_ЕТЭЦ1"/>
      <sheetName val="Ф_2_НГРЭС1"/>
      <sheetName val="Ф2_ПТЭЦ1"/>
      <sheetName val="Ф_2_ЩГРЭС1"/>
      <sheetName val="Ввод_данных_ЩГРЭС1"/>
      <sheetName val="Ввод_общих_данных1"/>
      <sheetName val="Расчет_тарифов_и_выручки1"/>
      <sheetName val="Master_Input_Sheet_Start_Here1"/>
      <sheetName val="Inputs_Sheet1"/>
      <sheetName val="Ввод_данных_Эл_21"/>
      <sheetName val="Ввод_данных_Эл__11"/>
      <sheetName val="Ввод_данных_Эл_31"/>
      <sheetName val="Ввод_данных_Эл_41"/>
      <sheetName val="Ввод_данных_Эл__51"/>
      <sheetName val="HBS_initial1"/>
      <sheetName val="HIS_initial1"/>
      <sheetName val="Производство_электроэнергии1"/>
      <sheetName val="Т19_11"/>
      <sheetName val="Cost_Allocation1"/>
      <sheetName val="60_счет1"/>
      <sheetName val="Акты_дебиторов"/>
      <sheetName val="Assumpt_"/>
      <sheetName val="FX_Adjustment"/>
      <sheetName val="Ф1_Актив_1-2"/>
      <sheetName val="6_Продажа_квартир"/>
      <sheetName val="3_ЗАТРАТЫ"/>
      <sheetName val="ДП_пессимист_"/>
      <sheetName val="Share_Price_2002"/>
      <sheetName val="стр_145_рос__исп"/>
      <sheetName val="Location_(Naming)"/>
      <sheetName val="Location_Handling"/>
      <sheetName val="ProductBundle_(Naming)"/>
      <sheetName val="Location_Cap"/>
      <sheetName val="ProcessMode_Coefficients"/>
      <sheetName val="общие_сведения"/>
      <sheetName val="график_строительства"/>
      <sheetName val="9_ДП"/>
      <sheetName val="стр-во_склад"/>
      <sheetName val="Статьи_БДДС"/>
      <sheetName val="Аналог_2"/>
      <sheetName val="F1_SPRAV"/>
      <sheetName val="СРАВН 47"/>
      <sheetName val="RAS_BS+1"/>
      <sheetName val="незав__Домодедово1"/>
      <sheetName val="Предположения_КАС1"/>
      <sheetName val="Natl_Consult_Reg_1"/>
      <sheetName val="Balance_sheet1"/>
      <sheetName val="GLC_Market_Approach2"/>
      <sheetName val="Operating_Data2"/>
      <sheetName val="Read_me_first2"/>
      <sheetName val="Master_Inputs_Start_here2"/>
      <sheetName val="Ф1_АТЭЦ2"/>
      <sheetName val="Ф1_ЕТЭЦ2"/>
      <sheetName val="Ф1_НГРЭС2"/>
      <sheetName val="Ф1_ПТЭЦ2"/>
      <sheetName val="Ф1_ЩГРЭС2"/>
      <sheetName val="Ф_2_АТЭЦ2"/>
      <sheetName val="Ф2_ЕТЭЦ2"/>
      <sheetName val="Ф_2_НГРЭС2"/>
      <sheetName val="Ф2_ПТЭЦ2"/>
      <sheetName val="Ф_2_ЩГРЭС2"/>
      <sheetName val="Ввод_данных_ЩГРЭС2"/>
      <sheetName val="Ввод_общих_данных2"/>
      <sheetName val="Расчет_тарифов_и_выручки2"/>
      <sheetName val="Master_Input_Sheet_Start_Here2"/>
      <sheetName val="HBS_initial2"/>
      <sheetName val="Inputs_Sheet2"/>
      <sheetName val="Ввод_данных_Эл_22"/>
      <sheetName val="Ввод_данных_Эл__12"/>
      <sheetName val="Ввод_данных_Эл_32"/>
      <sheetName val="Ввод_данных_Эл_42"/>
      <sheetName val="Ввод_данных_Эл__52"/>
      <sheetName val="HIS_initial2"/>
      <sheetName val="Производство_электроэнергии2"/>
      <sheetName val="Т19_12"/>
      <sheetName val="Cost_Allocation2"/>
      <sheetName val="RAS_BS+2"/>
      <sheetName val="60_счет2"/>
      <sheetName val="незав__Домодедово2"/>
      <sheetName val="Предположения_КАС2"/>
      <sheetName val="Natl_Consult_Reg_2"/>
      <sheetName val="Balance_sheet2"/>
      <sheetName val="GLC_Market_Approach3"/>
      <sheetName val="Operating_Data3"/>
      <sheetName val="Read_me_first3"/>
      <sheetName val="Master_Inputs_Start_here3"/>
      <sheetName val="Ф1_АТЭЦ3"/>
      <sheetName val="Ф1_ЕТЭЦ3"/>
      <sheetName val="Ф1_НГРЭС3"/>
      <sheetName val="Ф1_ПТЭЦ3"/>
      <sheetName val="Ф1_ЩГРЭС3"/>
      <sheetName val="Ф_2_АТЭЦ3"/>
      <sheetName val="Ф2_ЕТЭЦ3"/>
      <sheetName val="Ф_2_НГРЭС3"/>
      <sheetName val="Ф2_ПТЭЦ3"/>
      <sheetName val="Ф_2_ЩГРЭС3"/>
      <sheetName val="Ввод_данных_ЩГРЭС3"/>
      <sheetName val="Ввод_общих_данных3"/>
      <sheetName val="Расчет_тарифов_и_выручки3"/>
      <sheetName val="Master_Input_Sheet_Start_Here3"/>
      <sheetName val="HBS_initial3"/>
      <sheetName val="Inputs_Sheet3"/>
      <sheetName val="Ввод_данных_Эл_23"/>
      <sheetName val="Ввод_данных_Эл__13"/>
      <sheetName val="Ввод_данных_Эл_33"/>
      <sheetName val="Ввод_данных_Эл_43"/>
      <sheetName val="Ввод_данных_Эл__53"/>
      <sheetName val="HIS_initial3"/>
      <sheetName val="Производство_электроэнергии3"/>
      <sheetName val="Т19_13"/>
      <sheetName val="Cost_Allocation3"/>
      <sheetName val="RAS_BS+3"/>
      <sheetName val="60_счет3"/>
      <sheetName val="незав__Домодедово3"/>
      <sheetName val="Предположения_КАС3"/>
      <sheetName val="Natl_Consult_Reg_3"/>
      <sheetName val="Balance_sheet3"/>
      <sheetName val="GLC_Market_Approach4"/>
      <sheetName val="Operating_Data4"/>
      <sheetName val="Read_me_first4"/>
      <sheetName val="Master_Inputs_Start_here4"/>
      <sheetName val="Ф1_АТЭЦ4"/>
      <sheetName val="Ф1_ЕТЭЦ4"/>
      <sheetName val="Ф1_НГРЭС4"/>
      <sheetName val="Ф1_ПТЭЦ4"/>
      <sheetName val="Ф1_ЩГРЭС4"/>
      <sheetName val="Ф_2_АТЭЦ4"/>
      <sheetName val="Ф2_ЕТЭЦ4"/>
      <sheetName val="Ф_2_НГРЭС4"/>
      <sheetName val="Ф2_ПТЭЦ4"/>
      <sheetName val="Ф_2_ЩГРЭС4"/>
      <sheetName val="Ввод_данных_ЩГРЭС4"/>
      <sheetName val="Ввод_общих_данных4"/>
      <sheetName val="Расчет_тарифов_и_выручки4"/>
      <sheetName val="Master_Input_Sheet_Start_Here4"/>
      <sheetName val="HBS_initial4"/>
      <sheetName val="Inputs_Sheet4"/>
      <sheetName val="Ввод_данных_Эл_24"/>
      <sheetName val="Ввод_данных_Эл__14"/>
      <sheetName val="Ввод_данных_Эл_34"/>
      <sheetName val="Ввод_данных_Эл_44"/>
      <sheetName val="Ввод_данных_Эл__54"/>
      <sheetName val="HIS_initial4"/>
      <sheetName val="Производство_электроэнергии4"/>
      <sheetName val="Т19_14"/>
      <sheetName val="Cost_Allocation4"/>
      <sheetName val="RAS_BS+4"/>
      <sheetName val="60_счет4"/>
      <sheetName val="незав__Домодедово4"/>
      <sheetName val="Предположения_КАС4"/>
      <sheetName val="Natl_Consult_Reg_4"/>
      <sheetName val="Balance_sheet4"/>
      <sheetName val="Общие"/>
      <sheetName val="списки госконтрактов"/>
      <sheetName val="Списки контрактов"/>
      <sheetName val="Затраты"/>
      <sheetName val="Groupings"/>
      <sheetName val="Список"/>
      <sheetName val="Дебиторы"/>
      <sheetName val="#ССЫЛКА"/>
      <sheetName val="Закупки"/>
      <sheetName val="Top Sheet"/>
      <sheetName val="Sheet3"/>
      <sheetName val="БДР"/>
      <sheetName val="показатели"/>
      <sheetName val="4"/>
      <sheetName val="Незав.пр-во "/>
      <sheetName val="Лист2"/>
      <sheetName val="assump"/>
      <sheetName val="Ini"/>
      <sheetName val="факт"/>
      <sheetName val=""/>
      <sheetName val="PROJECT"/>
      <sheetName val="Assumptions and Inputs"/>
      <sheetName val="Sampling Parameters"/>
      <sheetName val="Word lists"/>
      <sheetName val="SSF tables"/>
      <sheetName val="Main"/>
      <sheetName val="Related party"/>
      <sheetName val="Справочник для ПП "/>
      <sheetName val="s"/>
      <sheetName val="Б_Г"/>
      <sheetName val="Бюджет"/>
      <sheetName val="Proforma_2010"/>
      <sheetName val="Inventories"/>
      <sheetName val="POW"/>
      <sheetName val="Summary"/>
      <sheetName val="Статьи ДДС ОИКС"/>
      <sheetName val="Tep"/>
      <sheetName val="ТТЗ опт"/>
      <sheetName val="Дата"/>
      <sheetName val="proforma"/>
      <sheetName val="EMBI"/>
      <sheetName val="Israel (TASE&amp;NASDAQ)"/>
      <sheetName val="продажи (н)"/>
      <sheetName val="справочник для НС "/>
      <sheetName val="Лист7"/>
      <sheetName val="list"/>
      <sheetName val="Dropdown"/>
      <sheetName val="Calc"/>
      <sheetName val="Б1190-2"/>
      <sheetName val="Б1190-3"/>
      <sheetName val="Б1190"/>
      <sheetName val="Summary of Value"/>
      <sheetName val="Cash Flows"/>
      <sheetName val="InputTD"/>
      <sheetName val="Excav. Prod"/>
      <sheetName val="Rainfall"/>
      <sheetName val="Equip HR"/>
      <sheetName val="Travel &amp; Fuel"/>
      <sheetName val="B-4"/>
      <sheetName val="Спр"/>
      <sheetName val="Indices"/>
      <sheetName val="Top_Sheet"/>
      <sheetName val="Sampling_Parameters"/>
      <sheetName val="Word_lists"/>
      <sheetName val="SSF_tables"/>
      <sheetName val="Audit_Results"/>
      <sheetName val="Audit_Results_Upper_Stratum"/>
      <sheetName val="Population_Characteristics"/>
      <sheetName val="Related_party"/>
      <sheetName val="2.Продажа квартир"/>
      <sheetName val="ОС"/>
      <sheetName val="ОД"/>
      <sheetName val="Корр_прочие ар"/>
      <sheetName val="GLC_Market_Approach5"/>
      <sheetName val="Operating_Data5"/>
      <sheetName val="Read_me_first5"/>
      <sheetName val="Master_Inputs_Start_here5"/>
      <sheetName val="Ф1_АТЭЦ5"/>
      <sheetName val="Ф1_ЕТЭЦ5"/>
      <sheetName val="Ф1_НГРЭС5"/>
      <sheetName val="Ф1_ПТЭЦ5"/>
      <sheetName val="Ф1_ЩГРЭС5"/>
      <sheetName val="Ф_2_АТЭЦ5"/>
      <sheetName val="Ф2_ЕТЭЦ5"/>
      <sheetName val="Ф_2_НГРЭС5"/>
      <sheetName val="Ф2_ПТЭЦ5"/>
      <sheetName val="Ф_2_ЩГРЭС5"/>
      <sheetName val="Ввод_данных_ЩГРЭС5"/>
      <sheetName val="Ввод_общих_данных5"/>
      <sheetName val="Расчет_тарифов_и_выручки5"/>
      <sheetName val="Master_Input_Sheet_Start_Here5"/>
      <sheetName val="HBS_initial5"/>
      <sheetName val="Inputs_Sheet5"/>
      <sheetName val="Ввод_данных_Эл_25"/>
      <sheetName val="Ввод_данных_Эл__15"/>
      <sheetName val="Ввод_данных_Эл_35"/>
      <sheetName val="Ввод_данных_Эл_45"/>
      <sheetName val="Ввод_данных_Эл__55"/>
      <sheetName val="HIS_initial5"/>
      <sheetName val="Производство_электроэнергии5"/>
      <sheetName val="Т19_15"/>
      <sheetName val="Cost_Allocation5"/>
      <sheetName val="Предположения_КАС5"/>
      <sheetName val="60_счет5"/>
      <sheetName val="незав__Домодедово5"/>
      <sheetName val="RAS_BS+5"/>
      <sheetName val="Natl_Consult_Reg_5"/>
      <sheetName val="Balance_sheet5"/>
      <sheetName val="Баланс_ээ"/>
      <sheetName val="Баланс_мощности"/>
      <sheetName val="Рег_генер"/>
      <sheetName val="Income_Statement"/>
      <sheetName val="1a__Beta_extract"/>
      <sheetName val="+5610_04"/>
      <sheetName val="в_тенге"/>
      <sheetName val="7_1"/>
      <sheetName val="6НК-cт_"/>
      <sheetName val="Macroeconomic_Assumptions"/>
      <sheetName val="Фин_вложения"/>
      <sheetName val="ТТЗ_опт"/>
      <sheetName val="списки_госконтрактов"/>
      <sheetName val="Списки_контрактов"/>
      <sheetName val="Справочник_для_ПП_"/>
      <sheetName val="сравнение_по_удаленности"/>
      <sheetName val="СРАВН_47"/>
      <sheetName val="Незав_пр-во_"/>
      <sheetName val="Assumptions_and_Inputs"/>
      <sheetName val="a3.100.2_bs"/>
      <sheetName val="a3.100.3_p&amp;l"/>
      <sheetName val="a.3.100.1_ts"/>
      <sheetName val="a3.100.4_transformation_aje"/>
      <sheetName val="Итог по НПО "/>
      <sheetName val="Services Cover"/>
      <sheetName val="Assumption"/>
      <sheetName val="PPA AA"/>
      <sheetName val="Lists"/>
      <sheetName val="ДЗО-6"/>
      <sheetName val="12-03 Lease LT mov summary_"/>
      <sheetName val="12-03 Lease ST mov summary_"/>
      <sheetName val="12-03 LT Lease - краткосрочн"/>
      <sheetName val="12-03 LT Lease - долгосроч"/>
      <sheetName val="Проводки"/>
      <sheetName val="Расчет 30.09.2019"/>
      <sheetName val="Расчет 30.06.2019"/>
      <sheetName val="28.06.2019"/>
      <sheetName val="Расчет 31.03.2019"/>
      <sheetName val="28.03.2019"/>
      <sheetName val="новое_в_методе"/>
      <sheetName val="итог 2018 г."/>
      <sheetName val="новыйОБъект ОС"/>
      <sheetName val="30.09.2018_реестр"/>
      <sheetName val="РСБУ_2017_2018"/>
      <sheetName val="Прогноз инфляции"/>
      <sheetName val="Расчет 31.12.2018"/>
      <sheetName val="Расчет 30.09.2018"/>
      <sheetName val="Расчет 30.06.2018"/>
      <sheetName val="Расчет 31.03.2018"/>
      <sheetName val="Расчет 31.12.2017"/>
      <sheetName val="Расчет 30.09.2017"/>
      <sheetName val="Расчет 30.06.2017"/>
      <sheetName val="Расчет 31.03.2017"/>
      <sheetName val="Расчет 31.12.2016"/>
      <sheetName val="29.06.2018"/>
      <sheetName val="31.03.2018"/>
      <sheetName val="Итог 2017 г."/>
      <sheetName val="ставки ЦБ_РФ_2018"/>
      <sheetName val="01.2017 г."/>
      <sheetName val="03.2017 г."/>
      <sheetName val="06.2017 г. "/>
      <sheetName val="Здания"/>
      <sheetName val="в руб._2017"/>
      <sheetName val="в руб._2016"/>
      <sheetName val="2016_отч_по_проводкам"/>
      <sheetName val="USD rates"/>
      <sheetName val="Var"/>
      <sheetName val="DD&amp;A"/>
      <sheetName val="Support"/>
      <sheetName val="з.ч на рем.обор."/>
      <sheetName val="Стригин"/>
      <sheetName val="IAS Trial Balance"/>
      <sheetName val="DICTS"/>
      <sheetName val="Обложка"/>
      <sheetName val="kpi 1"/>
      <sheetName val="kpi 2"/>
      <sheetName val="Input TI"/>
      <sheetName val="ТС"/>
      <sheetName val="ГРЭС"/>
      <sheetName val="ТЭЦ"/>
      <sheetName val="ТЭЦ_К"/>
      <sheetName val="Subfed SpB"/>
      <sheetName val="SENSITIVITY"/>
      <sheetName val="расход"/>
      <sheetName val="bs"/>
      <sheetName val="is_with_intl"/>
      <sheetName val="TB"/>
      <sheetName val="служебный"/>
      <sheetName val="FCF"/>
      <sheetName val="Schedules"/>
      <sheetName val="for word5"/>
      <sheetName val="фин. показатели"/>
      <sheetName val="осн. ср-ва"/>
      <sheetName val="вых. данные за 1 год"/>
      <sheetName val="вых. данные по годам"/>
      <sheetName val="Proj. Bal."/>
      <sheetName val="Ratios"/>
      <sheetName val="for word3"/>
      <sheetName val="оборот. кап."/>
      <sheetName val="GoEight"/>
      <sheetName val="GrFour"/>
      <sheetName val="MOne"/>
      <sheetName val="MTwo"/>
      <sheetName val="KOne"/>
      <sheetName val="GoSeven"/>
      <sheetName val="GrThree"/>
      <sheetName val="HTwo"/>
      <sheetName val="JOne"/>
      <sheetName val="JTwo"/>
      <sheetName val="HOne"/>
      <sheetName val="Расшифровка Дт к комитету"/>
      <sheetName val="ДляПрезентации (30.06.20)"/>
      <sheetName val="Списки и формулы"/>
      <sheetName val="баланс"/>
      <sheetName val="shtLookup"/>
      <sheetName val="Лимиты"/>
      <sheetName val="Таблица"/>
      <sheetName val="Сводный-затраты"/>
      <sheetName val="Global Assumptions"/>
      <sheetName val="стр_145_рос__исп1"/>
      <sheetName val="Proforma_20101"/>
      <sheetName val="finansal tamamlanma eğrisi"/>
      <sheetName val="cus_HK1033"/>
      <sheetName val="title"/>
      <sheetName val="SR3"/>
      <sheetName val="sov tot"/>
      <sheetName val="PRC bank"/>
      <sheetName val="ЗУ_2015"/>
      <sheetName val="13 NGDO"/>
      <sheetName val="Deviation"/>
      <sheetName val="Сoefficients"/>
      <sheetName val="Лист3"/>
      <sheetName val="Prelim Cost"/>
      <sheetName val="Округа"/>
      <sheetName val="Ставка Д"/>
      <sheetName val="Начало"/>
      <sheetName val="Движение по месяцам"/>
      <sheetName val="Средняя стоимость"/>
      <sheetName val="Цеховые"/>
      <sheetName val="1.401.2"/>
      <sheetName val="Style Summary"/>
      <sheetName val="Link"/>
      <sheetName val="Продажи реальные и прогноз 20 л"/>
      <sheetName val="Компенсация2"/>
      <sheetName val="tickmarks"/>
      <sheetName val="ex-rates"/>
      <sheetName val="NB_Tariffs"/>
      <sheetName val="Разницы КЗ"/>
      <sheetName val="КЗ"/>
      <sheetName val="Передано в аренду 2019"/>
      <sheetName val="O-120"/>
      <sheetName val="O-110"/>
      <sheetName val="GLCratiosJun"/>
      <sheetName val="cash flow"/>
      <sheetName val="B03"/>
      <sheetName val="tpd costs"/>
      <sheetName val="pasiva-skutečnost"/>
      <sheetName val="pasiva-skute?nost"/>
      <sheetName val="n-10"/>
      <sheetName val="Объем"/>
      <sheetName val="Terminal Value"/>
      <sheetName val="can doi - ket qua"/>
      <sheetName val="Table"/>
      <sheetName val="Информация"/>
      <sheetName val="akt"/>
      <sheetName val="ICPs"/>
      <sheetName val="Lookup"/>
      <sheetName val="Control_Admin"/>
      <sheetName val="Req"/>
      <sheetName val="Levels"/>
      <sheetName val="Ф.2"/>
      <sheetName val="ДЗ и КЗ обороты с ДЗО"/>
      <sheetName val="Ф.4"/>
      <sheetName val="исходники"/>
      <sheetName val="ф2"/>
      <sheetName val="Database (RUR)Mar YTD"/>
      <sheetName val="итог"/>
      <sheetName val="СМР"/>
      <sheetName val="CamKum Prod"/>
      <sheetName val="Акты_дебиторов2"/>
      <sheetName val="Assumpt_2"/>
      <sheetName val="FX_Adjustment2"/>
      <sheetName val="стр_145_рос__исп2"/>
      <sheetName val="Location_(Naming)2"/>
      <sheetName val="Location_Handling2"/>
      <sheetName val="ProductBundle_(Naming)2"/>
      <sheetName val="Location_Cap2"/>
      <sheetName val="ProcessMode_Coefficients2"/>
      <sheetName val="Share_Price_20022"/>
      <sheetName val="6_Продажа_квартир2"/>
      <sheetName val="3_ЗАТРАТЫ2"/>
      <sheetName val="Аренда_Торговля2"/>
      <sheetName val="Аренда_СТО2"/>
      <sheetName val="ДП_пессимист_2"/>
      <sheetName val="общие_сведения2"/>
      <sheetName val="Метод_остатка2"/>
      <sheetName val="график01_09_022"/>
      <sheetName val="1_ИСХ_2"/>
      <sheetName val="исх_12"/>
      <sheetName val="график_строительства2"/>
      <sheetName val="9_ДП2"/>
      <sheetName val="Сведение_объект2"/>
      <sheetName val="общие_данные2"/>
      <sheetName val="14_ДП2"/>
      <sheetName val="7_ЗУ_ГУИОН!2"/>
      <sheetName val="Ф1_Актив_1-22"/>
      <sheetName val="стр-во_склад2"/>
      <sheetName val="Статьи_БДДС2"/>
      <sheetName val="Аналог_22"/>
      <sheetName val="Акты_дебиторов1"/>
      <sheetName val="Assumpt_1"/>
      <sheetName val="FX_Adjustment1"/>
      <sheetName val="Location_(Naming)1"/>
      <sheetName val="Location_Handling1"/>
      <sheetName val="ProductBundle_(Naming)1"/>
      <sheetName val="Location_Cap1"/>
      <sheetName val="ProcessMode_Coefficients1"/>
      <sheetName val="Share_Price_20021"/>
      <sheetName val="6_Продажа_квартир1"/>
      <sheetName val="3_ЗАТРАТЫ1"/>
      <sheetName val="Аренда_Торговля1"/>
      <sheetName val="Аренда_СТО1"/>
      <sheetName val="ДП_пессимист_1"/>
      <sheetName val="общие_сведения1"/>
      <sheetName val="Метод_остатка1"/>
      <sheetName val="график01_09_021"/>
      <sheetName val="1_ИСХ_1"/>
      <sheetName val="исх_11"/>
      <sheetName val="график_строительства1"/>
      <sheetName val="9_ДП1"/>
      <sheetName val="Сведение_объект1"/>
      <sheetName val="общие_данные1"/>
      <sheetName val="14_ДП1"/>
      <sheetName val="7_ЗУ_ГУИОН!1"/>
      <sheetName val="Ф1_Актив_1-21"/>
      <sheetName val="стр-во_склад1"/>
      <sheetName val="Статьи_БДДС1"/>
      <sheetName val="Аналог_21"/>
      <sheetName val="цены пок.хим."/>
      <sheetName val="список данных"/>
      <sheetName val="Баланс_ээ1"/>
      <sheetName val="Баланс_мощности1"/>
      <sheetName val="Рег_генер1"/>
      <sheetName val="Бюджет годовой"/>
      <sheetName val="1_ИСХ1"/>
      <sheetName val="документы_Кириши1"/>
      <sheetName val="UNIT RATES"/>
      <sheetName val="Bill1 IKEA"/>
      <sheetName val="Bill10 Delivery zone "/>
      <sheetName val="Bill11 Tech.Prem.Roof"/>
      <sheetName val="Bill12 UC Mall "/>
      <sheetName val="Bill13 Complex Roof "/>
      <sheetName val="Bill14 Restaurant square"/>
      <sheetName val="Bill15 Sport area"/>
      <sheetName val="Bill16 Open Parking "/>
      <sheetName val="Bill17 Tech. Building"/>
      <sheetName val="Bill18 Landscape&amp;roads"/>
      <sheetName val="Bill19 On-Site Utilities"/>
      <sheetName val="Bill1A IKEA Integration"/>
      <sheetName val="Bill2 IKEA UC"/>
      <sheetName val="Bill3 Mall Str."/>
      <sheetName val="Bill4 Mall fit-out"/>
      <sheetName val="Bill5 Hypermarket  "/>
      <sheetName val="Bill6 Cinema  "/>
      <sheetName val="Bill7 Restaurant area"/>
      <sheetName val="Bill8 Del. Tunnels"/>
      <sheetName val="Bill9 Discovery center"/>
      <sheetName val="Beton Maliyet Analizi"/>
      <sheetName val="Период"/>
      <sheetName val="Petty Cash"/>
      <sheetName val="стоимость скважин"/>
      <sheetName val="мат.по скв."/>
      <sheetName val="dep"/>
      <sheetName val="оборуд_1"/>
      <sheetName val="MC-1"/>
      <sheetName val="DCF Assumptions"/>
      <sheetName val="PV Calcs"/>
      <sheetName val="К3. Анализ длительност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/>
      <sheetData sheetId="225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 refreshError="1"/>
      <sheetData sheetId="351" refreshError="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 refreshError="1"/>
      <sheetData sheetId="532" refreshError="1"/>
      <sheetData sheetId="533" refreshError="1"/>
      <sheetData sheetId="534" refreshError="1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/>
      <sheetData sheetId="690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 refreshError="1"/>
      <sheetData sheetId="809" refreshError="1"/>
      <sheetData sheetId="810"/>
      <sheetData sheetId="811"/>
      <sheetData sheetId="812"/>
      <sheetData sheetId="813" refreshError="1"/>
      <sheetData sheetId="814"/>
      <sheetData sheetId="815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од.инф."/>
      <sheetName val="Здания-Сравнит"/>
      <sheetName val="Здания-Затратн"/>
      <sheetName val="Здания-Доходн"/>
      <sheetName val="Здания-Взвеш"/>
    </sheetNames>
    <sheetDataSet>
      <sheetData sheetId="0" refreshError="1">
        <row r="7">
          <cell r="A7" t="str">
            <v>Производственный корпус № 1</v>
          </cell>
          <cell r="B7">
            <v>306</v>
          </cell>
        </row>
        <row r="8">
          <cell r="B8">
            <v>77.400000000000006</v>
          </cell>
        </row>
        <row r="9">
          <cell r="B9">
            <v>134</v>
          </cell>
        </row>
        <row r="10">
          <cell r="B10">
            <v>426.2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афик платежей"/>
    </sheetNames>
    <sheetDataSet>
      <sheetData sheetId="0">
        <row r="9">
          <cell r="I9">
            <v>1930293.0755998902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quidity Report"/>
      <sheetName val="Reference"/>
      <sheetName val="Credit portfolio"/>
    </sheetNames>
    <sheetDataSet>
      <sheetData sheetId="0" refreshError="1"/>
      <sheetData sheetId="1">
        <row r="6">
          <cell r="G6" t="str">
            <v>Yes</v>
          </cell>
        </row>
        <row r="7">
          <cell r="G7" t="str">
            <v>No</v>
          </cell>
        </row>
        <row r="10">
          <cell r="G10" t="str">
            <v>Significant (&gt;= 30%)</v>
          </cell>
        </row>
        <row r="11">
          <cell r="G11" t="str">
            <v>Adequate (15-30%)</v>
          </cell>
        </row>
        <row r="12">
          <cell r="G12" t="str">
            <v>Tight (5-15%)</v>
          </cell>
        </row>
        <row r="13">
          <cell r="G13" t="str">
            <v>Possible breach</v>
          </cell>
        </row>
        <row r="14">
          <cell r="G14" t="str">
            <v>Breach</v>
          </cell>
        </row>
        <row r="15">
          <cell r="G15" t="str">
            <v>Waiver asked</v>
          </cell>
        </row>
        <row r="16">
          <cell r="G16" t="str">
            <v>Waiver obtained</v>
          </cell>
        </row>
        <row r="17">
          <cell r="G17" t="str">
            <v>Not applicable</v>
          </cell>
        </row>
        <row r="20">
          <cell r="G20" t="str">
            <v>Strongly positive</v>
          </cell>
        </row>
        <row r="21">
          <cell r="G21" t="str">
            <v>Positive</v>
          </cell>
        </row>
        <row r="22">
          <cell r="G22" t="str">
            <v>Neutral</v>
          </cell>
        </row>
        <row r="23">
          <cell r="G23" t="str">
            <v>Negative</v>
          </cell>
        </row>
        <row r="24">
          <cell r="G24" t="str">
            <v>Strongly negative</v>
          </cell>
        </row>
      </sheetData>
      <sheetData sheetId="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ling system analysis"/>
      <sheetName val="KEY"/>
      <sheetName val="Value"/>
      <sheetName val="Assumptions"/>
      <sheetName val="Projections"/>
      <sheetName val="КОРдатапредл"/>
      <sheetName val="Форма1"/>
      <sheetName val="Data for analysis"/>
      <sheetName val="Sched 11-ACTUALS"/>
      <sheetName val="Summary"/>
      <sheetName val="_"/>
      <sheetName val="CIP"/>
      <sheetName val="отгр ГОК"/>
      <sheetName val="Scenar"/>
      <sheetName val="Cost Allocation"/>
      <sheetName val="2002(v2)"/>
      <sheetName val="Цеховые"/>
      <sheetName val="оао09от"/>
      <sheetName val="Standard Inputs"/>
      <sheetName val="Adm"/>
      <sheetName val="Ф №10"/>
      <sheetName val="Opex"/>
      <sheetName val="Sales"/>
      <sheetName val="CF less F"/>
      <sheetName val="Salary"/>
      <sheetName val="Cape"/>
      <sheetName val="Com"/>
      <sheetName val="Taxes"/>
      <sheetName val="Production"/>
      <sheetName val="Prices"/>
      <sheetName val="Energy"/>
      <sheetName val="Discount"/>
      <sheetName val="Projn ParametersPP"/>
      <sheetName val="Indices"/>
      <sheetName val="СпрПред"/>
      <sheetName val="Титул"/>
      <sheetName val="Баланс"/>
      <sheetName val="Ф2"/>
      <sheetName val="Ф5"/>
      <sheetName val="Ф6"/>
      <sheetName val="Ф4"/>
      <sheetName val="Корректирующие Таблицы"/>
      <sheetName val="Курс"/>
      <sheetName val="Служебный"/>
      <sheetName val="Корр_сост"/>
      <sheetName val="ИнвестицииСвод"/>
      <sheetName val="Лист3"/>
      <sheetName val="точн2"/>
      <sheetName val="Input_Assumptions"/>
      <sheetName val="Сдача "/>
      <sheetName val="МБП"/>
      <sheetName val="DATA"/>
      <sheetName val="Indizes"/>
      <sheetName val="сметы СКО 3кв03г."/>
      <sheetName val="Списки"/>
      <sheetName val="Исходные данные, курс $"/>
      <sheetName val="#ССЫЛ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èse_PL_matrice"/>
      <sheetName val="Module1"/>
      <sheetName val="Plan"/>
      <sheetName val="Base"/>
      <sheetName val="Totaux"/>
      <sheetName val="Apercu"/>
      <sheetName val="Tables"/>
      <sheetName val="Consult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README"/>
      <sheetName val="REGISTR"/>
      <sheetName val="ALT-INFO"/>
      <sheetName val="DIAG1"/>
      <sheetName val="DIAG2"/>
      <sheetName val="DIAG3"/>
      <sheetName val="DIAG4"/>
      <sheetName val="DIAG5"/>
      <sheetName val="SENSITIVITY"/>
      <sheetName val="DIAG6"/>
      <sheetName val="DIAG7"/>
      <sheetName val="DIAG8"/>
      <sheetName val="MACRO"/>
      <sheetName val="Нац"/>
      <sheetName val="Корп стор"/>
      <sheetName val="КЦБК"/>
      <sheetName val="ЦО"/>
      <sheetName val="ЦОкр"/>
      <sheetName val="ЦОразв"/>
      <sheetName val="стор"/>
      <sheetName val="ГСМ2"/>
      <sheetName val="од.м1"/>
      <sheetName val="гарн"/>
      <sheetName val="уп"/>
      <sheetName val="фил"/>
      <sheetName val="топ"/>
      <sheetName val="ТМЦ доч"/>
      <sheetName val="МатЦБК"/>
      <sheetName val="хим"/>
      <sheetName val="хим1"/>
      <sheetName val="Поясн"/>
      <sheetName val="одм"/>
      <sheetName val="Рен"/>
      <sheetName val="ИнвЦБК"/>
      <sheetName val="ИнвЦБК1"/>
      <sheetName val="Техобс"/>
      <sheetName val="Мет"/>
      <sheetName val="АТС"/>
      <sheetName val="Финтр"/>
      <sheetName val="Ссф"/>
      <sheetName val="МатЭКС"/>
      <sheetName val="Хоз"/>
      <sheetName val="Амор"/>
      <sheetName val="ЭнрЭксим"/>
      <sheetName val="ИнЭК06"/>
      <sheetName val="Пред"/>
      <sheetName val="топЭКС"/>
      <sheetName val="Перс"/>
      <sheetName val="ПЖТ"/>
      <sheetName val="Радиац"/>
      <sheetName val="% кре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2">
          <cell r="C12">
            <v>1</v>
          </cell>
        </row>
        <row r="14">
          <cell r="C14">
            <v>1</v>
          </cell>
        </row>
        <row r="16">
          <cell r="C16">
            <v>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Содержание"/>
      <sheetName val="Список компаний"/>
      <sheetName val="1.Свод_корректировок"/>
      <sheetName val="2.Корректировки"/>
      <sheetName val="3.Трансформация"/>
      <sheetName val="4.Свод_ОНАОНО"/>
      <sheetName val="5.RE"/>
    </sheetNames>
    <sheetDataSet>
      <sheetData sheetId="0">
        <row r="6">
          <cell r="B6" t="str">
            <v>ООО «Даев»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Имущество"/>
      <sheetName val="Сводная"/>
      <sheetName val="ЛП"/>
      <sheetName val="Statements"/>
      <sheetName val="Клиенту график"/>
      <sheetName val="Сопоставление"/>
      <sheetName val="Банку График"/>
      <sheetName val="Поставщику график"/>
      <sheetName val="экономическая эффективность"/>
      <sheetName val="ДЛЯ замечаний"/>
      <sheetName val="График Поступления в Ко"/>
      <sheetName val="Поток"/>
      <sheetName val="Имуществао в залог"/>
      <sheetName val="Банку 1"/>
      <sheetName val="Банку 2"/>
    </sheetNames>
    <sheetDataSet>
      <sheetData sheetId="0">
        <row r="19">
          <cell r="D19">
            <v>115052400</v>
          </cell>
        </row>
      </sheetData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 PLEASE READ"/>
      <sheetName val="Title"/>
      <sheetName val="Contents"/>
      <sheetName val="Currency"/>
      <sheetName val="Input"/>
      <sheetName val="Output Spec Pharma"/>
      <sheetName val="Output EU Spec Pharma"/>
      <sheetName val="Profile"/>
      <sheetName val="Profitability - rating"/>
      <sheetName val="Output Universe"/>
      <sheetName val="Output US Spec Pharma"/>
      <sheetName val="Output East Euro Spec Pharma"/>
      <sheetName val="cus_HK1033"/>
      <sheetName val="Данные"/>
      <sheetName val="GEN_INFO"/>
      <sheetName val="CHART_IAS"/>
      <sheetName val="СМЕТА"/>
      <sheetName val="Тариф на транзит"/>
      <sheetName val="Read me first"/>
      <sheetName val="GLC_ratios_Jun"/>
      <sheetName val="Gloss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_SP_IN"/>
      <sheetName val="F1_INVES"/>
      <sheetName val="F1_SPRAV"/>
      <sheetName val="Справка об инв вложениях ППФЛА"/>
      <sheetName val="Currency"/>
      <sheetName val="Scenar"/>
      <sheetName val="Assumptions"/>
      <sheetName val="AccReport"/>
      <sheetName val="Supporting Schedule"/>
      <sheetName val="Multiples"/>
      <sheetName val="Balance Sheet"/>
      <sheetName val="Income Statement"/>
      <sheetName val="MACRO"/>
      <sheetName val="SENSITIVITY"/>
      <sheetName val="Расчет"/>
      <sheetName val="Проект"/>
      <sheetName val="Manager"/>
    </sheetNames>
    <sheetDataSet>
      <sheetData sheetId="0" refreshError="1"/>
      <sheetData sheetId="1"/>
      <sheetData sheetId="2" refreshError="1">
        <row r="3">
          <cell r="B3" t="str">
            <v xml:space="preserve">0003-45047743 </v>
          </cell>
        </row>
        <row r="4">
          <cell r="B4" t="str">
            <v>5 Октября 1996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Income Statement"/>
      <sheetName val="СВОД"/>
      <sheetName val="VFI"/>
      <sheetName val="LTRate"/>
      <sheetName val="Ки"/>
      <sheetName val="Regions"/>
      <sheetName val="Tab1"/>
      <sheetName val="Tab2-X"/>
      <sheetName val="Tab2-1"/>
      <sheetName val="Tab3"/>
      <sheetName val="CAD"/>
      <sheetName val="Метод остатка"/>
      <sheetName val="Glossary"/>
      <sheetName val="Brif_zdanie"/>
      <sheetName val="Выписка_РФИ"/>
      <sheetName val="Имущество_элементы"/>
      <sheetName val="Read me first"/>
      <sheetName val="TT_03_12_01п"/>
      <sheetName val="Rev"/>
      <sheetName val="DCF"/>
      <sheetName val="TOC"/>
      <sheetName val="ОСЗ"/>
      <sheetName val="исход-итог"/>
      <sheetName val="14.ДП"/>
      <sheetName val="1.ИСХ "/>
      <sheetName val="Ставка Д"/>
      <sheetName val="Инвест-пр1"/>
      <sheetName val="Инвест-пр4"/>
      <sheetName val="ТЭП Многофункц"/>
      <sheetName val="общее"/>
      <sheetName val="ТЭП по 1вар АНЭИ "/>
      <sheetName val="Затраты оф компл "/>
      <sheetName val="подз паркинг под оф"/>
      <sheetName val="от закзчика"/>
      <sheetName val="Содержание"/>
      <sheetName val="Profits&amp;Loses"/>
      <sheetName val="F1"/>
      <sheetName val="Inputs"/>
      <sheetName val="Проект"/>
      <sheetName val="Для расчета амортизации"/>
      <sheetName val="восст"/>
      <sheetName val="Const"/>
      <sheetName val="затр_подх"/>
      <sheetName val="APP"/>
      <sheetName val="Sheet2"/>
      <sheetName val="Параметры"/>
      <sheetName val="коррект земля офис"/>
      <sheetName val="Лист1"/>
      <sheetName val="общие данные"/>
      <sheetName val="график01.09.02"/>
      <sheetName val="график строительства"/>
      <sheetName val="Инд"/>
      <sheetName val="КС"/>
      <sheetName val="Annexe"/>
      <sheetName val="КФВ"/>
      <sheetName val="ОД"/>
      <sheetName val="ПВД"/>
      <sheetName val="Исходное"/>
      <sheetName val="3.ЗАТРАТЫ"/>
      <sheetName val="Док+Исх"/>
      <sheetName val="d_pok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Кред. задолж."/>
      <sheetName val="Авансы выданные"/>
      <sheetName val="аванс по ОС"/>
      <sheetName val="Прочие"/>
      <sheetName val="платежи"/>
      <sheetName val="движение дс"/>
      <sheetName val="РЗ"/>
      <sheetName val="т(к)"/>
      <sheetName val="Выбытия"/>
      <sheetName val="Центр НПК"/>
      <sheetName val="оборотка (свекла)"/>
      <sheetName val="Товар в пути"/>
      <sheetName val="апрель ЗП"/>
      <sheetName val="БДДС"/>
      <sheetName val="DailySch"/>
      <sheetName val="ИСХ"/>
      <sheetName val="мероп. пр 6"/>
      <sheetName val="РСК-год"/>
      <sheetName val="Аналит з-ка"/>
      <sheetName val="PLтв - Б"/>
      <sheetName val="Сверка с компаниями"/>
      <sheetName val="Прочий товар"/>
      <sheetName val="оборот средства(год)"/>
      <sheetName val="13,40 Авансы_получ"/>
      <sheetName val="Кредиторская задолженность"/>
      <sheetName val="январь"/>
      <sheetName val="п"/>
      <sheetName val="PL"/>
      <sheetName val="ДЗ"/>
      <sheetName val="СКР"/>
      <sheetName val="ОС УК СС"/>
      <sheetName val="Книга1"/>
      <sheetName val="скорр"/>
      <sheetName val="Инв"/>
      <sheetName val="Книга2"/>
      <sheetName val="Хран сах "/>
      <sheetName val="БДДС год"/>
      <sheetName val="Хотмыжск"/>
      <sheetName val="Авансы_уплач,деньги в регионах"/>
      <sheetName val="Деб+ДС рег"/>
      <sheetName val="1.10"/>
      <sheetName val="аван получ "/>
      <sheetName val="1.14"/>
      <sheetName val="Аванс свекла"/>
      <sheetName val="БПУ"/>
      <sheetName val="12 кред ф баланс "/>
      <sheetName val="УК Производство"/>
      <sheetName val="т"/>
      <sheetName val="5"/>
      <sheetName val="товар"/>
      <sheetName val="предоплата"/>
      <sheetName val="3"/>
      <sheetName val="Резерв"/>
      <sheetName val="за месяц"/>
      <sheetName val="ЗКР"/>
      <sheetName val="титул"/>
      <sheetName val="Льгов"/>
      <sheetName val="Ав (закупка, услуги)"/>
      <sheetName val="Ав+фин влож"/>
      <sheetName val="12 креди баланс "/>
      <sheetName val="Хран св+м+ж"/>
      <sheetName val="Произв пок раст 3 "/>
      <sheetName val="#ССЫЛКА"/>
      <sheetName val="Поступления"/>
      <sheetName val="Выб"/>
      <sheetName val="2 деньги в пути"/>
      <sheetName val="P&amp;L"/>
      <sheetName val="янв"/>
      <sheetName val="БАЛАНС(большой)"/>
      <sheetName val="БДДС Крутьки"/>
      <sheetName val="Деньги"/>
      <sheetName val="Сдача произведен. прод."/>
      <sheetName val="Проч"/>
      <sheetName val="Баланс"/>
      <sheetName val="Пост"/>
      <sheetName val="ГСМ"/>
      <sheetName val="PL СКР"/>
      <sheetName val="сс"/>
      <sheetName val="Фин"/>
      <sheetName val="Кредитный портфель"/>
      <sheetName val="Авансы "/>
      <sheetName val="d_pok"/>
      <sheetName val="Акции"/>
      <sheetName val="Гр фин"/>
      <sheetName val="Лист 2"/>
      <sheetName val="ОДФР 2"/>
      <sheetName val="свод по Копм"/>
      <sheetName val="Кред"/>
      <sheetName val="б"/>
      <sheetName val="Начисл"/>
      <sheetName val="Производство"/>
      <sheetName val="Инвест.план к БДДС"/>
      <sheetName val="БАЛАНСПР2"/>
      <sheetName val="Изменения"/>
      <sheetName val="Инвестиции_1"/>
      <sheetName val="УК ЗКР"/>
      <sheetName val="Аналитика"/>
      <sheetName val="ОПИиУ"/>
      <sheetName val="БДДС (3)"/>
      <sheetName val="БДДС 3 декады"/>
      <sheetName val="Отгрузка"/>
      <sheetName val="Баланс ВЭД"/>
      <sheetName val="бюджет 2005"/>
      <sheetName val="PL new"/>
      <sheetName val="Вр"/>
      <sheetName val="Баланс3"/>
      <sheetName val="Balance Sheet"/>
      <sheetName val="1"/>
      <sheetName val=" БДДС"/>
      <sheetName val="MACRO"/>
      <sheetName val="Фин. вложения"/>
      <sheetName val="PL (2)"/>
      <sheetName val="Баланс-новый"/>
      <sheetName val="ПП"/>
      <sheetName val="Закупки"/>
      <sheetName val="Доходы"/>
      <sheetName val="Нормы_Свекла"/>
      <sheetName val="БДДС конс  руб "/>
      <sheetName val="БПУ ПР"/>
      <sheetName val="Себестоимость"/>
      <sheetName val="Выбытия  к БДДС"/>
      <sheetName val="Щигры"/>
      <sheetName val="Авансы_уплач,деньги в регионах,"/>
      <sheetName val="PLб"/>
      <sheetName val="д"/>
      <sheetName val="ежедневный лист заполнения"/>
      <sheetName val="Вр ф (2)"/>
      <sheetName val="Balance Sh+Indices"/>
      <sheetName val="Разнесение ОХР"/>
      <sheetName val="Кред- портф-РСК"/>
      <sheetName val="Прод_скота"/>
      <sheetName val="Исход инф"/>
      <sheetName val="Центр Агропрод"/>
      <sheetName val="Агропрод"/>
      <sheetName val="ц"/>
      <sheetName val="Год план"/>
      <sheetName val="Птицеводство"/>
      <sheetName val="приби уб"/>
      <sheetName val="на печать"/>
      <sheetName val="РСК-3мес"/>
      <sheetName val="справка"/>
      <sheetName val="Центр РЗ"/>
      <sheetName val="Свод по комп"/>
      <sheetName val="БДДС Агропрод"/>
      <sheetName val="свод "/>
      <sheetName val="исх.данные2004"/>
      <sheetName val="план"/>
      <sheetName val="2004"/>
      <sheetName val="2005"/>
      <sheetName val="Пок"/>
      <sheetName val="Комм"/>
      <sheetName val="АУР"/>
      <sheetName val="Нал"/>
      <sheetName val="ВРР"/>
      <sheetName val="БДР мес"/>
      <sheetName val="Комм расх"/>
      <sheetName val="Доп пок-ли"/>
      <sheetName val="Акции и ОС"/>
      <sheetName val="Комм расх опл"/>
      <sheetName val="Связь 0-я"/>
      <sheetName val="Деньги &quot;производство&quot;"/>
      <sheetName val="ДДС"/>
      <sheetName val="БДР"/>
      <sheetName val="Коммерческие расходы"/>
      <sheetName val="О"/>
      <sheetName val="4$"/>
      <sheetName val="2"/>
      <sheetName val="ц. р"/>
      <sheetName val="All"/>
      <sheetName val="АБ"/>
      <sheetName val="Sell"/>
      <sheetName val="СА"/>
      <sheetName val="МТС"/>
      <sheetName val="З"/>
      <sheetName val="Осн.Пок"/>
      <sheetName val="04"/>
      <sheetName val="PL_04"/>
      <sheetName val="Б_4"/>
      <sheetName val="ц.р."/>
      <sheetName val="акц"/>
      <sheetName val="Кред_ задолж_"/>
      <sheetName val="13_40 Авансы_получ"/>
      <sheetName val="Деб_ДС рег"/>
      <sheetName val="1_10"/>
      <sheetName val="1_14"/>
      <sheetName val="_ССЫЛКА"/>
      <sheetName val="Инвест_план к БДДС"/>
      <sheetName val="_БДДС"/>
      <sheetName val="Фин_ вложения"/>
      <sheetName val="PL _2_"/>
      <sheetName val="Баланс_новы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 first"/>
      <sheetName val="Sum"/>
      <sheetName val="DCF"/>
      <sheetName val="AAM"/>
      <sheetName val="HBS initial"/>
      <sheetName val="HIS initial"/>
      <sheetName val="HBS"/>
      <sheetName val="HIS"/>
      <sheetName val="FRA"/>
      <sheetName val="ФА"/>
      <sheetName val="Assets"/>
      <sheetName val="Liab"/>
      <sheetName val="Master Inputs Start Here"/>
      <sheetName val="Топливный баланс"/>
      <sheetName val="Расчет тарифов и выручки"/>
      <sheetName val="WACC"/>
      <sheetName val="WorkCap"/>
      <sheetName val="CapEx_Depr"/>
      <sheetName val="кап затраты (НАО)"/>
      <sheetName val="Depr_Nez-ka"/>
      <sheetName val="псковская"/>
      <sheetName val="Эк износ"/>
      <sheetName val="Топливо ЭкИ"/>
      <sheetName val="Расходы ЭкИ"/>
      <sheetName val="ОК ЭкИ"/>
      <sheetName val="DCF ЭкИ"/>
      <sheetName val="ЭкИ по Иванову"/>
      <sheetName val="Эк изн свод"/>
      <sheetName val="Неоперационны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>
        <row r="10">
          <cell r="D10" t="str">
            <v>ОАО "Псковская ГРЭС"</v>
          </cell>
        </row>
        <row r="13">
          <cell r="D13">
            <v>0.5</v>
          </cell>
        </row>
        <row r="14">
          <cell r="D14">
            <v>38169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ropdown list"/>
      <sheetName val="Sheet2"/>
    </sheetNames>
    <sheetDataSet>
      <sheetData sheetId="0"/>
      <sheetData sheetId="1">
        <row r="2">
          <cell r="A2" t="str">
            <v>Sale</v>
          </cell>
          <cell r="E2" t="str">
            <v>LLR</v>
          </cell>
        </row>
        <row r="3">
          <cell r="A3" t="str">
            <v>Lease</v>
          </cell>
          <cell r="E3" t="str">
            <v>ETR</v>
          </cell>
        </row>
        <row r="4">
          <cell r="A4" t="str">
            <v>Sublease</v>
          </cell>
          <cell r="E4" t="str">
            <v>LLR/ETR</v>
          </cell>
        </row>
      </sheetData>
      <sheetData sheetId="2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тер.(январь)"/>
      <sheetName val="ноябрь03"/>
      <sheetName val="матер ДЕКАБРЬ"/>
      <sheetName val="декабрь03"/>
      <sheetName val="октябрь03"/>
      <sheetName val="сентябрь03"/>
      <sheetName val="август03"/>
      <sheetName val="июль03"/>
      <sheetName val="матер.(декабрь)"/>
      <sheetName val="матер.(октябрь)"/>
      <sheetName val="матер.(сентябрь)"/>
      <sheetName val="матер.(август)"/>
      <sheetName val="матер.(июль)"/>
      <sheetName val="смета"/>
      <sheetName val="матер__октябрь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Осн показ"/>
      <sheetName val="Произв-во"/>
      <sheetName val="Простои"/>
      <sheetName val="Простои (2)"/>
      <sheetName val="Простои (3)"/>
      <sheetName val="Простои (4)"/>
      <sheetName val="Экология"/>
      <sheetName val="Отгрузка"/>
      <sheetName val="Цены прод"/>
      <sheetName val="Запасы прод"/>
      <sheetName val="Факторы"/>
      <sheetName val="Поставки"/>
      <sheetName val="Цены рес"/>
      <sheetName val="Запасы рес"/>
      <sheetName val="Числ и ЗП"/>
      <sheetName val="Несчаст"/>
      <sheetName val="Бюджет"/>
      <sheetName val="Фин план"/>
      <sheetName val="Баланс"/>
      <sheetName val="Агр баланс"/>
      <sheetName val="Баланс 2"/>
      <sheetName val="Агр баланс 2"/>
      <sheetName val="Движ ДС"/>
      <sheetName val="Прибыль"/>
      <sheetName val="Показатели"/>
      <sheetName val="Об активы"/>
      <sheetName val="Кратк обяз"/>
      <sheetName val="Цикл"/>
      <sheetName val="Затраты"/>
      <sheetName val="Рентаб"/>
      <sheetName val="Элем затр"/>
    </sheetNames>
    <sheetDataSet>
      <sheetData sheetId="0">
        <row r="5">
          <cell r="A5" t="str">
            <v>ОАО "Котласский ЦБК"</v>
          </cell>
        </row>
        <row r="8">
          <cell r="A8" t="str">
            <v>ИЮЛЬ 2003 года</v>
          </cell>
        </row>
        <row r="15">
          <cell r="B15">
            <v>32.299999999999997</v>
          </cell>
        </row>
        <row r="16">
          <cell r="B16">
            <v>30.36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s"/>
      <sheetName val="datastream"/>
      <sheetName val="Sheet2"/>
      <sheetName val="Sheet3"/>
      <sheetName val="#REF"/>
      <sheetName val="Inf"/>
      <sheetName val="PagD"/>
      <sheetName val="Presentation Output"/>
      <sheetName val="Лист3"/>
      <sheetName val="NASE Oil-Revenue"/>
      <sheetName val="Balance Sh+Indices"/>
      <sheetName val="CrYrAssumptions"/>
      <sheetName val="Исходные данные"/>
      <sheetName val="БДР, БДДС по месяцам (прям)"/>
      <sheetName val="БДР, БДДС по месяцам (косв)"/>
      <sheetName val="Титул"/>
      <sheetName val="Капитальные затраты"/>
      <sheetName val="Анализ Монте-Карло"/>
      <sheetName val="Исходное"/>
      <sheetName val="LFA 2001"/>
      <sheetName val="Controls"/>
      <sheetName val="cfg"/>
      <sheetName val="ф1"/>
      <sheetName val="TА7"/>
      <sheetName val="DCF"/>
      <sheetName val="Siltronic"/>
      <sheetName val="Natl Consult Reg."/>
      <sheetName val="Inputs"/>
      <sheetName val="Cost Allocation"/>
      <sheetName val="Input"/>
      <sheetName val="cus_HK1033"/>
      <sheetName val="1996 год"/>
      <sheetName val="XLR_NoRangeSheet"/>
      <sheetName val="Scenar"/>
      <sheetName val="Detailed_OS"/>
      <sheetName val="Report_OS"/>
      <sheetName val="Cтавка"/>
      <sheetName val="Макро"/>
      <sheetName val="ОФ"/>
      <sheetName val="Производ"/>
      <sheetName val="Газ и э-э"/>
      <sheetName val="БДР кв"/>
      <sheetName val="Персонал"/>
      <sheetName val="Затраты"/>
      <sheetName val="Текущие"/>
      <sheetName val="ФормыКонс"/>
      <sheetName val="Баланс"/>
      <sheetName val="U2.60_Capital repairs"/>
      <sheetName val="Comps analysis (spare)"/>
      <sheetName val="CashFlow"/>
      <sheetName val="VCost"/>
      <sheetName val="VCost, usl"/>
      <sheetName val="Проект"/>
      <sheetName val="Анализ"/>
      <sheetName val="Currency"/>
      <sheetName val="INFLOW"/>
      <sheetName val="Rev"/>
      <sheetName val="К3_инфл"/>
      <sheetName val="Presentation_Output"/>
      <sheetName val="NASE_Oil-Revenue"/>
      <sheetName val="Balance_Sh+Indices"/>
      <sheetName val="Исходные_данные"/>
      <sheetName val="БДР,_БДДС_по_месяцам_(прям)"/>
      <sheetName val="БДР,_БДДС_по_месяцам_(косв)"/>
      <sheetName val="Капитальные_затраты"/>
      <sheetName val="Анализ_Монте-Карло"/>
      <sheetName val="LFA_2001"/>
      <sheetName val="Natl_Consult_Reg_"/>
      <sheetName val="Cost_Allocation"/>
      <sheetName val="ПРОГНОЗ_1"/>
      <sheetName val="Ratios"/>
      <sheetName val="Common-Size"/>
      <sheetName val="FCF"/>
      <sheetName val="Schedules"/>
      <sheetName val="Proj. Bal."/>
      <sheetName val="codes"/>
      <sheetName val="Income Statement"/>
      <sheetName val="Местопол_область,город"/>
      <sheetName val="Dates"/>
      <sheetName val="Таблица рассрочки"/>
      <sheetName val="temp_for_sw"/>
      <sheetName val="rates_for_sw"/>
      <sheetName val="G"/>
      <sheetName val="costs_whole_for_sw"/>
      <sheetName val="Газ_и_э-э"/>
      <sheetName val="БДР_кв"/>
      <sheetName val="GLC_ratios_Jun"/>
      <sheetName val="sheet0"/>
      <sheetName val="GAAP 0302"/>
      <sheetName val="Общее"/>
      <sheetName val="Sheet1"/>
      <sheetName val="Plan_acc_"/>
      <sheetName val="kesif"/>
      <sheetName val="Breakdown CAPEX (PBC)"/>
      <sheetName val="Presentation_Output1"/>
      <sheetName val="NASE_Oil-Revenue1"/>
      <sheetName val="Balance_Sh+Indices1"/>
      <sheetName val="Исходные_данные1"/>
      <sheetName val="БДР,_БДДС_по_месяцам_(прям)1"/>
      <sheetName val="БДР,_БДДС_по_месяцам_(косв)1"/>
      <sheetName val="Капитальные_затраты1"/>
      <sheetName val="Анализ_Монте-Карло1"/>
      <sheetName val="LFA_20011"/>
      <sheetName val="Natl_Consult_Reg_1"/>
      <sheetName val="Cost_Allocation1"/>
      <sheetName val="1996_год"/>
      <sheetName val="VCost,_usl"/>
      <sheetName val="U2_60_Capital_repairs"/>
      <sheetName val="Comps_analysis_(spare)"/>
      <sheetName val="Proj__Bal_"/>
      <sheetName val="Income_Statement"/>
      <sheetName val="курс"/>
      <sheetName val="Параметры"/>
      <sheetName val="KeyStats"/>
      <sheetName val="неделя"/>
      <sheetName val="Списки"/>
      <sheetName val="AGBR"/>
      <sheetName val="Financials"/>
      <sheetName val="GEN_INFO"/>
      <sheetName val="Riders for Info Pack"/>
      <sheetName val="control"/>
      <sheetName val="KUR"/>
      <sheetName val="Номенклатура"/>
      <sheetName val="C.1.D.1.РСП"/>
      <sheetName val="константы"/>
      <sheetName val="siva"/>
      <sheetName val="oil "/>
      <sheetName val="beer"/>
      <sheetName val="mobile "/>
      <sheetName val="energy "/>
      <sheetName val="metal "/>
      <sheetName val="telecom "/>
      <sheetName val="airlines"/>
      <sheetName val="oil-shipping"/>
      <sheetName val="banking"/>
      <sheetName val="consumer&amp;retail"/>
      <sheetName val="Read me first"/>
      <sheetName val="инжиниринг"/>
      <sheetName val="data"/>
      <sheetName val="balance_sheet"/>
      <sheetName val="отчетность (радиоволна)"/>
      <sheetName val="TimeLine"/>
      <sheetName val="Cash in"/>
      <sheetName val="доходы"/>
      <sheetName val="HUD YOLU DUVAR 8 MT"/>
      <sheetName val="УПР"/>
      <sheetName val="open3200"/>
      <sheetName val="свод бддс "/>
      <sheetName val=""/>
      <sheetName val="Setup"/>
      <sheetName val="Generators"/>
      <sheetName val="Transmission"/>
      <sheetName val="Demand"/>
      <sheetName val="Scenarios"/>
      <sheetName val="Flow summary"/>
      <sheetName val="Flows"/>
      <sheetName val="Generator summary"/>
      <sheetName val="свед"/>
      <sheetName val="master cashflows - contractual"/>
      <sheetName val="A"/>
      <sheetName val="FORM B; FORM B1"/>
      <sheetName val="GSChartLabels"/>
      <sheetName val="Grouplist"/>
      <sheetName val="segments"/>
      <sheetName val="Options"/>
      <sheetName val="UPS SI System DDP Moscow"/>
      <sheetName val="Справочники таблиц"/>
      <sheetName val="версия 1"/>
      <sheetName val="Brdwn"/>
      <sheetName val="топография"/>
      <sheetName val="FST5"/>
      <sheetName val="себ-сть Б"/>
      <sheetName val="Data BURKOL"/>
      <sheetName val="BEF_2009"/>
      <sheetName val="FX"/>
      <sheetName val="INVESTISSEMENTS"/>
      <sheetName val="Газ_и_э-э1"/>
      <sheetName val="БДР_кв1"/>
      <sheetName val="Таблица_рассрочки"/>
      <sheetName val="GAAP_0302"/>
      <sheetName val="Riders_for_Info_Pack"/>
      <sheetName val="Tabla"/>
      <sheetName val="ВКЗ"/>
      <sheetName val="12 кред ф баланс"/>
      <sheetName val="Авансы полученные"/>
      <sheetName val="Авансы уплаченные"/>
      <sheetName val="итог"/>
      <sheetName val="TESİSAT"/>
      <sheetName val="#ССЫЛКА"/>
      <sheetName val="Титульный лист"/>
      <sheetName val="44"/>
      <sheetName val="tickmarks"/>
      <sheetName val="ex-rates"/>
      <sheetName val="B inputs"/>
      <sheetName val="справочники"/>
      <sheetName val="KrasInputs"/>
      <sheetName val="OMinputs"/>
      <sheetName val="TVinputs"/>
      <sheetName val="Variables"/>
      <sheetName val="rje"/>
      <sheetName val="REESTR_MO"/>
      <sheetName val="TEHSHEET"/>
      <sheetName val="Титульный"/>
      <sheetName val="Globals"/>
      <sheetName val="Kr"/>
      <sheetName val="Assumptions"/>
      <sheetName val="kpi"/>
      <sheetName val="BS _RAS_"/>
      <sheetName val="data ofa"/>
      <sheetName val="График экск."/>
      <sheetName val="Proforma"/>
      <sheetName val="Presentation income statement"/>
      <sheetName val="SWBD-CB"/>
      <sheetName val="холдинг"/>
      <sheetName val="Админ"/>
      <sheetName val="ИСХ_ИНФ"/>
      <sheetName val="Inventories as of 03.20"/>
      <sheetName val="Flow_summary"/>
      <sheetName val="Generator_summary"/>
      <sheetName val="Inventories_as_of_03_20"/>
      <sheetName val="#¡REF"/>
      <sheetName val="1999-veca"/>
      <sheetName val="Справочник статей"/>
      <sheetName val="Станд.кор"/>
      <sheetName val="Нестанд.кор"/>
      <sheetName val="НМА"/>
      <sheetName val="ОС"/>
      <sheetName val="лимиты"/>
      <sheetName val="каменских и.м."/>
      <sheetName val="Risk-Free Rate"/>
      <sheetName val="Data Sheet"/>
      <sheetName val="бюджет ремонтов"/>
      <sheetName val="формат_бухг_разбивка сотруднико"/>
      <sheetName val="1"/>
      <sheetName val="2"/>
      <sheetName val="2.1"/>
      <sheetName val="2.2"/>
      <sheetName val="2.3"/>
      <sheetName val="РчСтЭЭ (УП)"/>
      <sheetName val="РчСтЭЭ (Ф)"/>
      <sheetName val="РчСтГМ (УП)"/>
      <sheetName val="РчСтГМ (Ф)"/>
      <sheetName val="Ìàêðî"/>
      <sheetName val="Cover _ Parameters"/>
      <sheetName val="5"/>
      <sheetName val="Ââîä"/>
      <sheetName val="Transmittal_In"/>
      <sheetName val="Fin.result"/>
      <sheetName val="Monte-Carlo"/>
      <sheetName val="Forecast Drivers"/>
      <sheetName val="t1"/>
      <sheetName val="Projections"/>
      <sheetName val="GENERAL INFO"/>
    </sheetNames>
    <sheetDataSet>
      <sheetData sheetId="0" refreshError="1">
        <row r="47">
          <cell r="A47" t="str">
            <v>WIRENYPROD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/>
      <sheetData sheetId="177"/>
      <sheetData sheetId="178"/>
      <sheetData sheetId="179"/>
      <sheetData sheetId="180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/>
      <sheetData sheetId="190"/>
      <sheetData sheetId="191"/>
      <sheetData sheetId="192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/>
      <sheetData sheetId="218"/>
      <sheetData sheetId="219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писание"/>
      <sheetName val="курс"/>
      <sheetName val="ЗАП"/>
      <sheetName val="земля"/>
      <sheetName val="ФИ"/>
      <sheetName val="СРАВНИТ"/>
      <sheetName val="ДП"/>
      <sheetName val="R"/>
      <sheetName val="Итог"/>
      <sheetName val="земля1"/>
      <sheetName val="СП_паркинг"/>
    </sheetNames>
    <sheetDataSet>
      <sheetData sheetId="0" refreshError="1"/>
      <sheetData sheetId="1" refreshError="1">
        <row r="4">
          <cell r="C4">
            <v>45.261800000000001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"/>
      <sheetName val="Лист1"/>
      <sheetName val="Лист2"/>
      <sheetName val="Лист3"/>
    </sheetNames>
    <sheetDataSet>
      <sheetData sheetId="0" refreshError="1">
        <row r="3">
          <cell r="B3" t="str">
            <v>№</v>
          </cell>
          <cell r="D3" t="str">
            <v>Характеристика и описание (номер, дата, условия, срок действия)</v>
          </cell>
          <cell r="E3" t="str">
            <v>Примечания</v>
          </cell>
        </row>
        <row r="4">
          <cell r="C4" t="str">
            <v>Название и адрес  проекта</v>
          </cell>
          <cell r="D4" t="str">
            <v>Жилой 8 этажный дом с подземной парковкой г.Калининград ул.Маршала Баграмяна 14</v>
          </cell>
          <cell r="E4" t="str">
            <v>Указать в соотв. с распорядительными документами</v>
          </cell>
        </row>
        <row r="5">
          <cell r="C5" t="str">
            <v>Участники проекта</v>
          </cell>
        </row>
        <row r="6">
          <cell r="C6" t="str">
            <v>Заемщик</v>
          </cell>
          <cell r="D6" t="str">
            <v>ООО «Подорожник»</v>
          </cell>
          <cell r="E6" t="str">
            <v>Название организации, телефон, контактное лицо</v>
          </cell>
        </row>
        <row r="7">
          <cell r="C7" t="str">
            <v>Застройщик</v>
          </cell>
          <cell r="D7" t="str">
            <v>ООО «Подорожник»</v>
          </cell>
          <cell r="E7" t="str">
            <v>Название организации, телефон, контактное лицо</v>
          </cell>
        </row>
        <row r="8">
          <cell r="C8" t="str">
            <v>Технический Заказчик (Название/Договор/виды работ/срок выполнения/допуск СРО)</v>
          </cell>
          <cell r="D8" t="str">
            <v>ООО "Темп"</v>
          </cell>
          <cell r="E8" t="str">
            <v>Название организации, телефон, контактное лицо</v>
          </cell>
        </row>
        <row r="9">
          <cell r="C9" t="str">
            <v>Генпроектировщик (Название/Договор/виды работ/срок выполнения/допуск СРО)</v>
          </cell>
          <cell r="D9" t="str">
            <v>ООО «Регионпроект»</v>
          </cell>
          <cell r="E9" t="str">
            <v>Название организации, телефон, контактное лицо</v>
          </cell>
        </row>
        <row r="10">
          <cell r="C10" t="str">
            <v>Генподрядчик (Название/Договор/виды работ/срок выполнения/допуск СРО)</v>
          </cell>
          <cell r="D10" t="str">
            <v>ООО "Темп"</v>
          </cell>
          <cell r="E10" t="str">
            <v>Название организации, телефон, контактное лицо</v>
          </cell>
        </row>
        <row r="11">
          <cell r="B11">
            <v>1</v>
          </cell>
          <cell r="C11" t="str">
            <v>Документы по земельному участку, зданиям и сооружениям</v>
          </cell>
        </row>
        <row r="12">
          <cell r="C12" t="str">
            <v>Площадь земельного участка</v>
          </cell>
          <cell r="D12" t="str">
            <v>0,45 Га</v>
          </cell>
        </row>
        <row r="13">
          <cell r="C13" t="str">
            <v>собственность</v>
          </cell>
          <cell r="D13" t="str">
            <v xml:space="preserve"> - № 960567 серия 39-АА от 25.07.11г.</v>
          </cell>
          <cell r="E13" t="str">
            <v>№ документа, дата, кто собственник</v>
          </cell>
        </row>
        <row r="14">
          <cell r="C14" t="str">
            <v>аренда</v>
          </cell>
          <cell r="D14" t="str">
            <v>№39/10-всзу-160627 от 20.09.10</v>
          </cell>
          <cell r="E14" t="str">
            <v>№ договора,  дата выдачи, дата окончания, кто арендатор</v>
          </cell>
        </row>
        <row r="15">
          <cell r="C15" t="str">
            <v>категория/разрешенное использование</v>
          </cell>
          <cell r="D15" t="str">
            <v xml:space="preserve"> - строительство жилого дома</v>
          </cell>
        </row>
        <row r="16">
          <cell r="C16" t="str">
            <v>ограничения (обременения)</v>
          </cell>
          <cell r="D16" t="str">
            <v xml:space="preserve"> - нет</v>
          </cell>
          <cell r="E16" t="str">
            <v>Указанные в договоре аренды</v>
          </cell>
        </row>
        <row r="17">
          <cell r="C17" t="str">
            <v>Здания и сооружения (если участок не свободен)</v>
          </cell>
          <cell r="D17" t="str">
            <v>расселенный дом под разрушение</v>
          </cell>
          <cell r="E17" t="str">
            <v>находящиеся на зем. участке (перечислить, дать описание)</v>
          </cell>
        </row>
        <row r="18">
          <cell r="C18" t="str">
            <v>собственность</v>
          </cell>
          <cell r="D18" t="str">
            <v xml:space="preserve"> № 960567 серия 39-АА от 25.07.11г.</v>
          </cell>
          <cell r="E18" t="str">
            <v>№ документа, дата, кто собственник</v>
          </cell>
        </row>
        <row r="19">
          <cell r="C19" t="str">
            <v>Договор аренды (кто арендаторы)</v>
          </cell>
          <cell r="D19" t="str">
            <v>-</v>
          </cell>
          <cell r="E19" t="str">
            <v>№ договора,  дата выдачи, дата окончания, кто арендатор</v>
          </cell>
        </row>
        <row r="20">
          <cell r="B20" t="str">
            <v>2</v>
          </cell>
          <cell r="C20" t="str">
            <v>Распорядительные документы на строительство</v>
          </cell>
          <cell r="D20" t="str">
            <v>-</v>
          </cell>
        </row>
        <row r="21">
          <cell r="C21" t="str">
            <v>Постановление (распоряжения, решения)</v>
          </cell>
          <cell r="D21" t="str">
            <v>№ Ru 39301000-257 от 29.10.07</v>
          </cell>
          <cell r="E21" t="str">
            <v>№ документа, дата, наименование, стороны</v>
          </cell>
        </row>
        <row r="22">
          <cell r="C22" t="str">
            <v>Инвестиционный контракт (договор)</v>
          </cell>
          <cell r="D22" t="str">
            <v xml:space="preserve"> - </v>
          </cell>
          <cell r="E22" t="str">
            <v>№ документа, дата, наименование, стороны</v>
          </cell>
        </row>
        <row r="23">
          <cell r="C23" t="str">
            <v>Разрешение на строительство</v>
          </cell>
          <cell r="D23" t="str">
            <v>№ RU 39315000-291/2011 от 09.09.2011</v>
          </cell>
          <cell r="E23" t="str">
            <v>№ документа, дата, срок действия</v>
          </cell>
        </row>
        <row r="24">
          <cell r="B24" t="str">
            <v>3</v>
          </cell>
          <cell r="C24" t="str">
            <v>Основные параметры по Распорядительным документам</v>
          </cell>
        </row>
        <row r="25">
          <cell r="C25" t="str">
            <v>Срок реализации проекта</v>
          </cell>
          <cell r="D25" t="str">
            <v>12 мес.</v>
          </cell>
          <cell r="E25" t="str">
            <v>Указать дату окончания строительства</v>
          </cell>
        </row>
        <row r="26">
          <cell r="C26" t="str">
            <v>Технико-экономические показатели (указанные в распорядительном документе)</v>
          </cell>
          <cell r="D26" t="str">
            <v>площадь зем.участка 0,4586 га; количество этажей – 7,8,9 этажей;строит. объем – 32665 м3; общая площадь здания – 9132 м2</v>
          </cell>
        </row>
        <row r="27">
          <cell r="C27" t="str">
            <v>Финансирование строительства</v>
          </cell>
          <cell r="E27" t="str">
            <v>Кто осуществляет и в каком объеме</v>
          </cell>
        </row>
        <row r="28">
          <cell r="C28" t="str">
            <v>Обременения: финансовые и имущественные обязательства по Инвест. контракту и др. договорам</v>
          </cell>
          <cell r="E28" t="str">
            <v>Площади, передаваемые городу, денежные платежи,  другие обременения по ИК, и т.п.</v>
          </cell>
        </row>
        <row r="29">
          <cell r="C29" t="str">
            <v>Распределение площадей, в т.ч.</v>
          </cell>
        </row>
        <row r="30">
          <cell r="C30" t="str">
            <v xml:space="preserve">            - жилая         - доля Застройщика</v>
          </cell>
          <cell r="D30" t="str">
            <v>-</v>
          </cell>
          <cell r="E30" t="str">
            <v>Указать распределение долей в м2</v>
          </cell>
        </row>
        <row r="31">
          <cell r="C31" t="str">
            <v xml:space="preserve">                                     - доля Города</v>
          </cell>
          <cell r="D31" t="str">
            <v>-</v>
          </cell>
        </row>
        <row r="32">
          <cell r="C32" t="str">
            <v xml:space="preserve">            - нежилая     - доля Застройщика</v>
          </cell>
          <cell r="D32" t="str">
            <v>-</v>
          </cell>
          <cell r="E32" t="str">
            <v>Указать распределение долей в м2</v>
          </cell>
        </row>
        <row r="33">
          <cell r="C33" t="str">
            <v xml:space="preserve">                                     - доля Города</v>
          </cell>
          <cell r="D33" t="str">
            <v>-</v>
          </cell>
        </row>
        <row r="34">
          <cell r="C34" t="str">
            <v xml:space="preserve">            - автостоянка    -доля Застройщика</v>
          </cell>
          <cell r="D34" t="str">
            <v>-</v>
          </cell>
          <cell r="E34" t="str">
            <v>Указать распределение машиномест, шт.</v>
          </cell>
        </row>
        <row r="35">
          <cell r="C35" t="str">
            <v xml:space="preserve">                                           -доля Города</v>
          </cell>
          <cell r="D35" t="str">
            <v>-</v>
          </cell>
        </row>
        <row r="36">
          <cell r="B36" t="str">
            <v>4</v>
          </cell>
          <cell r="C36" t="str">
            <v>Проектно-сметная документация (ПСД) и Технические условия на подключение к городским инженерным сетям (ТУ).</v>
          </cell>
        </row>
        <row r="37">
          <cell r="C37" t="str">
            <v>Градплан (АРИ, ИРД, АПЗ)</v>
          </cell>
          <cell r="D37" t="str">
            <v>РУ 39301000-2485 от 31.03.11</v>
          </cell>
          <cell r="E37" t="str">
            <v>№ ,  дата выдачи</v>
          </cell>
        </row>
        <row r="38">
          <cell r="C38" t="str">
            <v>Заключение Госэкспертизы</v>
          </cell>
          <cell r="D38" t="str">
            <v>39-1-4-0204-11 от 25.08.11</v>
          </cell>
          <cell r="E38" t="str">
            <v>№ ,  дата выдачи</v>
          </cell>
        </row>
        <row r="39">
          <cell r="C39" t="str">
            <v>Утверждение проекта (РЗМ, приказ)</v>
          </cell>
          <cell r="D39" t="str">
            <v>проект в целом не утвержден</v>
          </cell>
          <cell r="E39" t="str">
            <v>№ ,  дата выдачи</v>
          </cell>
        </row>
        <row r="40">
          <cell r="C40" t="str">
            <v xml:space="preserve">Технические условия на подключение к городским инженерным сетям: </v>
          </cell>
        </row>
        <row r="41">
          <cell r="C41" t="str">
            <v xml:space="preserve">            - Электроснабжение</v>
          </cell>
          <cell r="D41" t="str">
            <v>№1460/10 от 22.11.10</v>
          </cell>
          <cell r="E41" t="str">
            <v>№ ТУ,  дата выдачи, дата окончания</v>
          </cell>
        </row>
        <row r="42">
          <cell r="C42" t="str">
            <v xml:space="preserve">            - Водоснабжение</v>
          </cell>
          <cell r="D42" t="str">
            <v>№ ту-970 от 23.08.10</v>
          </cell>
          <cell r="E42" t="str">
            <v>№ ТУ,  дата выдачи, дата окончания</v>
          </cell>
        </row>
        <row r="43">
          <cell r="C43" t="str">
            <v xml:space="preserve">            - Канализование</v>
          </cell>
          <cell r="D43" t="str">
            <v>№ ту-970 от 23.08.10</v>
          </cell>
          <cell r="E43" t="str">
            <v>№ ТУ,  дата выдачи, дата окончания</v>
          </cell>
        </row>
        <row r="44">
          <cell r="C44" t="str">
            <v xml:space="preserve">            - Ливневая канализация</v>
          </cell>
          <cell r="D44" t="str">
            <v>№ 181 от 23.03.11</v>
          </cell>
          <cell r="E44" t="str">
            <v>№ ТУ,  дата выдачи, дата окончания</v>
          </cell>
        </row>
        <row r="45">
          <cell r="C45" t="str">
            <v xml:space="preserve">            - Теплоснабжение</v>
          </cell>
          <cell r="D45" t="str">
            <v>№ 2339 от 07.06.07</v>
          </cell>
          <cell r="E45" t="str">
            <v>№ ТУ,  дата выдачи, дата окончания</v>
          </cell>
        </row>
        <row r="46">
          <cell r="C46" t="str">
            <v xml:space="preserve">                           (крышная котельная если есть)</v>
          </cell>
          <cell r="D46" t="str">
            <v>нет</v>
          </cell>
        </row>
        <row r="47">
          <cell r="C47" t="str">
            <v xml:space="preserve">            - Газоснабжение</v>
          </cell>
          <cell r="D47" t="str">
            <v>№ 23-м от 10.02.11</v>
          </cell>
          <cell r="E47" t="str">
            <v>№ ТУ,  дата выдачи, дата окончания</v>
          </cell>
        </row>
        <row r="48">
          <cell r="B48" t="str">
            <v>5</v>
          </cell>
          <cell r="C48" t="str">
            <v>Основные параметры по ПСД</v>
          </cell>
        </row>
        <row r="49">
          <cell r="C49" t="str">
            <v>Краткое описание здания</v>
          </cell>
          <cell r="D49" t="str">
            <v>Этажность объекта – 8 этажей, в т.ч. 1 – под подземных паркинг и 1 – под офисные помещения. На каждом этаже планируется по 16 квартир.</v>
          </cell>
          <cell r="E49" t="str">
            <v>Этажность, кол. секций,  вид ф-тов, конструкции перекрытий, стен наруж., стен внутр.</v>
          </cell>
        </row>
        <row r="50">
          <cell r="C50" t="str">
            <v>площадь участка (га)</v>
          </cell>
          <cell r="D50" t="str">
            <v>0,45 Га</v>
          </cell>
        </row>
        <row r="51">
          <cell r="C51" t="str">
            <v>площадь застройки (кв.м.)</v>
          </cell>
          <cell r="D51">
            <v>1665.7</v>
          </cell>
        </row>
        <row r="52">
          <cell r="C52" t="str">
            <v>этажность общая</v>
          </cell>
          <cell r="D52">
            <v>8</v>
          </cell>
        </row>
        <row r="53">
          <cell r="C53" t="str">
            <v>в т.ч.             - надземная</v>
          </cell>
          <cell r="D53">
            <v>7</v>
          </cell>
        </row>
        <row r="54">
          <cell r="C54" t="str">
            <v xml:space="preserve">                      - подземная</v>
          </cell>
          <cell r="D54">
            <v>1</v>
          </cell>
        </row>
        <row r="55">
          <cell r="C55" t="str">
            <v>общая площадь здания (кв.м.)</v>
          </cell>
          <cell r="D55">
            <v>9139</v>
          </cell>
        </row>
        <row r="56">
          <cell r="C56" t="str">
            <v>в т.ч.             - надземная</v>
          </cell>
          <cell r="D56">
            <v>8458</v>
          </cell>
        </row>
        <row r="57">
          <cell r="C57" t="str">
            <v xml:space="preserve">                      - подземная</v>
          </cell>
          <cell r="D57">
            <v>682</v>
          </cell>
          <cell r="E57" t="str">
            <v>Общая площадь нежилых помещений - 963 м2</v>
          </cell>
        </row>
        <row r="58">
          <cell r="C58" t="str">
            <v>Количество квартир, шт.</v>
          </cell>
          <cell r="D58">
            <v>96</v>
          </cell>
        </row>
        <row r="59">
          <cell r="C59" t="str">
            <v>Площадь квартир</v>
          </cell>
          <cell r="D59">
            <v>5193</v>
          </cell>
        </row>
        <row r="60">
          <cell r="C60" t="str">
            <v xml:space="preserve">Площадь нежилых помещений </v>
          </cell>
          <cell r="D60">
            <v>3265</v>
          </cell>
          <cell r="E60">
            <v>2384</v>
          </cell>
        </row>
        <row r="61">
          <cell r="C61" t="str">
            <v>количество маш-мест/площадь автостоянки</v>
          </cell>
          <cell r="D61" t="str">
            <v>50/682</v>
          </cell>
        </row>
        <row r="62">
          <cell r="B62" t="str">
            <v>6</v>
          </cell>
          <cell r="C62" t="str">
            <v>Строительно-монтажные работы</v>
          </cell>
        </row>
        <row r="63">
          <cell r="C63" t="str">
            <v>График производства работ</v>
          </cell>
          <cell r="D63" t="str">
            <v>01.10.2011-30.10.2012</v>
          </cell>
          <cell r="E63" t="str">
            <v>Указать Календарные сроки строительства</v>
          </cell>
        </row>
        <row r="64">
          <cell r="C64" t="str">
            <v>График финансирования работ</v>
          </cell>
          <cell r="D64" t="str">
            <v>октябрь 2011г.-октябрь 2012г.</v>
          </cell>
          <cell r="E64" t="str">
            <v>Указать Календарный период финансирования</v>
          </cell>
        </row>
        <row r="65">
          <cell r="C65" t="str">
            <v>Информация о состояниии проектирования объекта</v>
          </cell>
          <cell r="D65" t="str">
            <v>готовность стадии «Р»</v>
          </cell>
          <cell r="E65" t="str">
            <v>Описать текущее состояние проектирования (готовность стадии "П", готовность стадии "Р"</v>
          </cell>
        </row>
        <row r="66">
          <cell r="C66" t="str">
            <v>Стоимость выполненных работ</v>
          </cell>
          <cell r="D66" t="str">
            <v>-</v>
          </cell>
          <cell r="E66" t="str">
            <v xml:space="preserve"> (по накопительной ведомости и КС-2)</v>
          </cell>
        </row>
        <row r="67">
          <cell r="C67" t="str">
            <v>Информация о текущем состояниии объекта и выполненных работах</v>
          </cell>
          <cell r="D67" t="str">
            <v>расселен дом под снос, произведена перекладка газопровода из-под пятна застройки</v>
          </cell>
          <cell r="E67" t="str">
            <v>Описать текущее состояние объекта, виды выполненных работ, до какого эт.</v>
          </cell>
        </row>
        <row r="68">
          <cell r="C68" t="str">
            <v>продолжительность строительства (мес)</v>
          </cell>
          <cell r="D68" t="str">
            <v>12 мес.</v>
          </cell>
        </row>
        <row r="69">
          <cell r="C69" t="str">
            <v>Общая стоимость в текущих ценах (руб), в т.ч.</v>
          </cell>
        </row>
        <row r="70">
          <cell r="C70" t="str">
            <v>приобретение прав, руб</v>
          </cell>
          <cell r="D70">
            <v>50998000</v>
          </cell>
        </row>
        <row r="71">
          <cell r="C71" t="str">
            <v>проектно-сметная документация (ПСД), руб</v>
          </cell>
        </row>
        <row r="72">
          <cell r="C72" t="str">
            <v>строимтельно-монтажные работы (СМР), руб</v>
          </cell>
          <cell r="D72">
            <v>161484000</v>
          </cell>
        </row>
        <row r="73">
          <cell r="C73" t="str">
            <v>наружные инж. сети, руб</v>
          </cell>
          <cell r="D73" t="str">
            <v>-</v>
          </cell>
        </row>
        <row r="74">
          <cell r="C74" t="str">
            <v>услуги Заказчика, руб</v>
          </cell>
          <cell r="D74" t="str">
            <v>-</v>
          </cell>
        </row>
        <row r="75">
          <cell r="C75" t="str">
            <v>аренда земли, руб</v>
          </cell>
          <cell r="D75" t="str">
            <v>-</v>
          </cell>
        </row>
        <row r="76">
          <cell r="C76" t="str">
            <v>Общая сумма вложеных средств, руб</v>
          </cell>
          <cell r="D76">
            <v>38214110</v>
          </cell>
          <cell r="E76" t="str">
            <v xml:space="preserve">расселение </v>
          </cell>
        </row>
        <row r="77">
          <cell r="C77" t="str">
            <v>Сумма, необходимая для завершения строит-ва, руб.</v>
          </cell>
          <cell r="D77">
            <v>197277890</v>
          </cell>
        </row>
        <row r="78">
          <cell r="C78" t="str">
            <v>Сумма необходимого кредита</v>
          </cell>
          <cell r="D78">
            <v>188394000</v>
          </cell>
        </row>
        <row r="79">
          <cell r="C79" t="str">
            <v>Срок возврата кредита, (мес.)</v>
          </cell>
          <cell r="D79">
            <v>36</v>
          </cell>
        </row>
        <row r="80">
          <cell r="B80" t="str">
            <v>7</v>
          </cell>
          <cell r="C80" t="str">
            <v>Реализация площадей</v>
          </cell>
        </row>
        <row r="81">
          <cell r="C81" t="str">
            <v>Реализуемые площади:</v>
          </cell>
          <cell r="E81" t="str">
            <v>Указывать только долю Заемщика</v>
          </cell>
        </row>
        <row r="82">
          <cell r="C82" t="str">
            <v>Продаваемая площадь квартир, м2</v>
          </cell>
          <cell r="D82">
            <v>5193</v>
          </cell>
          <cell r="E82" t="str">
            <v>Указывать только долю Заемщика</v>
          </cell>
        </row>
        <row r="83">
          <cell r="C83" t="str">
            <v>Продаваемая площадь нежилых помещений, м2</v>
          </cell>
          <cell r="D83" t="str">
            <v>963 (это общ. площадь комерческих помещ. Продаваемая - 881)</v>
          </cell>
          <cell r="E83" t="str">
            <v>Указывать только долю Заемщика</v>
          </cell>
        </row>
        <row r="84">
          <cell r="C84" t="str">
            <v>Продаваемые Машино-места, шт.</v>
          </cell>
          <cell r="D84">
            <v>50</v>
          </cell>
          <cell r="E84" t="str">
            <v>Указывать только долю Заемщика</v>
          </cell>
        </row>
        <row r="86">
          <cell r="C86" t="str">
            <v>Средняя цена реализации 1м2 квартир, (р/м2)</v>
          </cell>
          <cell r="D86">
            <v>52000</v>
          </cell>
        </row>
        <row r="87">
          <cell r="C87" t="str">
            <v>Средняя цена реализации 1м2 нежил. помещений, (р/м2)</v>
          </cell>
          <cell r="D87">
            <v>80000</v>
          </cell>
        </row>
        <row r="88">
          <cell r="C88" t="str">
            <v>Средняя цена реализации машиномест (р/шт.)</v>
          </cell>
          <cell r="D88">
            <v>784000</v>
          </cell>
        </row>
        <row r="90">
          <cell r="C90" t="str">
            <v>Риэлтор (Название/Договор/срок выполнения/размер вознаграждения)</v>
          </cell>
        </row>
        <row r="91">
          <cell r="C91" t="str">
            <v>План продаж</v>
          </cell>
          <cell r="D91" t="str">
            <v>24 мес</v>
          </cell>
          <cell r="E91" t="str">
            <v>Срок реализации  каждого вида площадей (мес).</v>
          </cell>
        </row>
        <row r="92">
          <cell r="B92" t="str">
            <v>8</v>
          </cell>
          <cell r="C92" t="str">
            <v>Риски проекта</v>
          </cell>
        </row>
        <row r="94">
          <cell r="C94" t="str">
            <v>При заполнении анкеты читайте примечания</v>
          </cell>
          <cell r="D94" t="str">
            <v>При заполнении анкеты читайте примечания</v>
          </cell>
          <cell r="E94" t="str">
            <v>При заполнении анкеты читайте примечания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Лист1"/>
      <sheetName val="Пищевое пр-во"/>
      <sheetName val="01_01_08"/>
      <sheetName val="01_02_08"/>
      <sheetName val="Г_Ю_"/>
      <sheetName val="Солдатова НА"/>
      <sheetName val="анализ площадей"/>
      <sheetName val="Долгосрочные"/>
      <sheetName val="анализ 2007"/>
      <sheetName val="Список для Сахарука"/>
      <sheetName val="_сводная таблица"/>
      <sheetName val="Спис_ Св_Эст_"/>
      <sheetName val="Список для анализа"/>
      <sheetName val="список по Энгельса"/>
      <sheetName val="График платы Клик"/>
      <sheetName val="Арендаторы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puts_Assumptions"/>
      <sheetName val="Inputs_Plots"/>
      <sheetName val="PubParkings"/>
      <sheetName val="Inputs_Costs"/>
      <sheetName val="Inputs_Resi"/>
      <sheetName val="Inputs_Commerce"/>
      <sheetName val="Inputs_Indices"/>
      <sheetName val="Infrastructure_1"/>
      <sheetName val="Infrastructure_2"/>
      <sheetName val="Infrastructure_3"/>
      <sheetName val="Table1_Lots"/>
      <sheetName val="Table2_Phases"/>
      <sheetName val="Table3_LandPlots"/>
      <sheetName val="DCF full"/>
      <sheetName val="Investment Summary"/>
      <sheetName val="Summary_Lots"/>
      <sheetName val="Schedules"/>
      <sheetName val="Summary_CF by lot"/>
      <sheetName val="Summary_CF"/>
      <sheetName val="Summary_CF_Phases"/>
      <sheetName val="Summary_Exit_by lots"/>
      <sheetName val="Summary_Exit_project"/>
      <sheetName val="Summary_Taxes"/>
      <sheetName val="Лот (Lot) 1"/>
      <sheetName val="Лот (Lot) 2"/>
      <sheetName val="Лот (Lot) 3"/>
      <sheetName val="Лот (Lot) 4"/>
      <sheetName val="Лот (Lot) 5"/>
      <sheetName val="Лот (Lot) 6"/>
      <sheetName val="Лот (Lot) 7"/>
      <sheetName val="Лот (Lot) 8"/>
      <sheetName val="Лот (Lot) 9"/>
      <sheetName val="Лот (Lot) 10"/>
      <sheetName val="Лот (Lot) 11"/>
      <sheetName val="Лот (Lot) 12"/>
      <sheetName val="Лот (Lot) 13"/>
      <sheetName val="Лот (Lot) 14"/>
      <sheetName val="Лот (Lot) 15"/>
      <sheetName val="Лот (Lot) 16"/>
      <sheetName val="Лот (Lot) 17"/>
      <sheetName val="Лот (Lot) 18"/>
      <sheetName val="Лот (Lot) 19"/>
      <sheetName val="Лот (Lot) 20"/>
      <sheetName val="Лот (Lot) 21"/>
      <sheetName val="Лот (Lot) 22"/>
      <sheetName val="Лот (Lot) 23"/>
      <sheetName val="Лот (Lot) 24"/>
      <sheetName val="Лот (Lot) 25"/>
      <sheetName val="Лот (Lot) 26"/>
      <sheetName val="Лот (Lot) 27"/>
      <sheetName val="Лот (Lot) 28"/>
      <sheetName val="Лот (Lot) 29"/>
      <sheetName val="Лот (Lot) 30"/>
      <sheetName val="Лот (Lot) 31"/>
      <sheetName val="Лот (Lot) 32"/>
      <sheetName val="Лот (Lot) 33"/>
      <sheetName val="Лот (Lot) 34"/>
      <sheetName val="Лот (Lot) 35"/>
      <sheetName val="Лот (Lot) 36"/>
      <sheetName val="Лот (Lot) 37"/>
      <sheetName val="Лот (Lot) 38"/>
      <sheetName val="Лот (Lot) 39"/>
      <sheetName val="Лот (Lot) 40"/>
      <sheetName val="Лот (Lot) 41"/>
      <sheetName val="Лот (Lot) 42"/>
      <sheetName val="Лот (Lot) 43"/>
      <sheetName val="Лот (Lot) 44"/>
      <sheetName val="Лот (Lot) 45"/>
      <sheetName val="Лот (Lot) 46"/>
      <sheetName val="Лот (Lot) 47"/>
      <sheetName val="Лот (Lot) 48"/>
      <sheetName val="Лот (Lot) 49"/>
      <sheetName val="Лот (Lot) 50"/>
      <sheetName val="Лот (Lot) 51"/>
      <sheetName val="Лот (Lot) 52"/>
      <sheetName val="Лот (Lot) 53"/>
      <sheetName val="Лот (Lot) 54"/>
      <sheetName val="Лот (Lot) 55"/>
      <sheetName val="Лот (Lot) 56"/>
      <sheetName val="Лот (Lot) 57"/>
      <sheetName val="Лот (Lot) 58"/>
      <sheetName val="Лот (Lot) 59"/>
      <sheetName val="Лот (Lot) 60"/>
      <sheetName val="Лот (Lot) 61"/>
      <sheetName val="Лот (Lot) 62"/>
      <sheetName val="Лот (Lot) 63"/>
      <sheetName val="Лот (Lot) 64"/>
      <sheetName val="Лот (Lot) 65"/>
      <sheetName val="Лот (Lot) 66"/>
      <sheetName val="Лот (Lot) 67"/>
      <sheetName val="Лот (Lot) 68"/>
      <sheetName val="Лот (Lot) 69"/>
      <sheetName val="Лот (Lot) 70"/>
    </sheetNames>
    <sheetDataSet>
      <sheetData sheetId="0" refreshError="1"/>
      <sheetData sheetId="1">
        <row r="25">
          <cell r="B25" t="str">
            <v>ТРЦ_ShoppingСenter</v>
          </cell>
          <cell r="C25" t="str">
            <v>Гостиница_Hotel</v>
          </cell>
          <cell r="D25" t="str">
            <v>Офис_Office</v>
          </cell>
          <cell r="E25" t="str">
            <v>Жилье_Residential</v>
          </cell>
          <cell r="F25" t="str">
            <v>Таунхаусы_Townhouses</v>
          </cell>
          <cell r="G25" t="str">
            <v>Инфраструктура_Infrastructure</v>
          </cell>
        </row>
        <row r="26">
          <cell r="B26" t="str">
            <v>Лот (Lot) 1</v>
          </cell>
          <cell r="G26" t="str">
            <v>Затраты Собственника 
Owner's Cost</v>
          </cell>
        </row>
        <row r="226">
          <cell r="D226" t="str">
            <v>A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Report"/>
      <sheetName val="AccRepMonth"/>
      <sheetName val="NAVReportInF"/>
      <sheetName val="NAVReport"/>
      <sheetName val="NEW_NAV_REPORT"/>
      <sheetName val="NAV_CHANGE_REPORT"/>
      <sheetName val="AV_CHANGE_REPORT"/>
      <sheetName val="AV_REPORT"/>
      <sheetName val="MF_BALANCE"/>
      <sheetName val="NAVApp1"/>
      <sheetName val="NAVApp2"/>
      <sheetName val="SaldoReport"/>
      <sheetName val="TransReport"/>
      <sheetName val="TicketsReport"/>
      <sheetName val="RegDocReport"/>
      <sheetName val="OperationsReport"/>
      <sheetName val="NAVDrillDown"/>
      <sheetName val="PricesReport"/>
      <sheetName val="NKDReport"/>
      <sheetName val="CardSaldo"/>
      <sheetName val="Order_Vedomost"/>
      <sheetName val="NAV2Reg"/>
      <sheetName val="SecByPlaces"/>
      <sheetName val="NAVAverage"/>
      <sheetName val="Matching"/>
      <sheetName val="OperReport"/>
      <sheetName val="Balance"/>
      <sheetName val="TOC"/>
      <sheetName val="HBS initial"/>
      <sheetName val="PIF_Reports"/>
      <sheetName val="MTR_INDEX"/>
      <sheetName val="SUMMARY_DATA"/>
      <sheetName val="CrYrAssumptions"/>
      <sheetName val="EURO"/>
      <sheetName val="inputs"/>
      <sheetName val="Financial Assumtions"/>
      <sheetName val="WorkCap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О_мес"/>
      <sheetName val="ЗАО_н.ит"/>
      <sheetName val="ПО_мес"/>
      <sheetName val="ПО_н.ит"/>
      <sheetName val="ВО_мес"/>
      <sheetName val="ВО_н.ит"/>
      <sheetName val="ВД_мес"/>
      <sheetName val="ВД_н.ит"/>
      <sheetName val="ПТ_мес"/>
      <sheetName val="ПТ_н.ит"/>
      <sheetName val="РТК_мес"/>
      <sheetName val="РТК_н.ит"/>
      <sheetName val="КН_мес"/>
      <sheetName val="КН_н.ит"/>
      <sheetName val="ТН_мес"/>
      <sheetName val="ТН_н.ит"/>
      <sheetName val="МК_мес"/>
      <sheetName val="МК_н.ит"/>
      <sheetName val="ВНГК_мес"/>
      <sheetName val="ВНГК_н.ит"/>
      <sheetName val="ВНГ_мес"/>
      <sheetName val="ВНГ_н.ит"/>
      <sheetName val="Лист2"/>
      <sheetName val="Служебны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quidity Report"/>
      <sheetName val="Reference"/>
      <sheetName val="Ratios"/>
    </sheetNames>
    <sheetDataSet>
      <sheetData sheetId="0"/>
      <sheetData sheetId="1">
        <row r="6">
          <cell r="G6" t="str">
            <v>Yes</v>
          </cell>
        </row>
        <row r="32">
          <cell r="G32" t="str">
            <v>EUR</v>
          </cell>
          <cell r="H32" t="str">
            <v>Euro</v>
          </cell>
          <cell r="I32">
            <v>1</v>
          </cell>
        </row>
        <row r="33">
          <cell r="G33" t="str">
            <v>GBP</v>
          </cell>
          <cell r="H33" t="str">
            <v>British Pound</v>
          </cell>
          <cell r="I33">
            <v>0.8</v>
          </cell>
        </row>
        <row r="34">
          <cell r="G34" t="str">
            <v>USD</v>
          </cell>
          <cell r="H34" t="str">
            <v>United States Dollar</v>
          </cell>
          <cell r="I34">
            <v>1.45</v>
          </cell>
        </row>
        <row r="35">
          <cell r="G35" t="str">
            <v>CHF</v>
          </cell>
          <cell r="H35" t="str">
            <v>Swiss Franc</v>
          </cell>
          <cell r="I35">
            <v>1.5</v>
          </cell>
        </row>
        <row r="36">
          <cell r="G36" t="str">
            <v>RUB</v>
          </cell>
          <cell r="H36" t="str">
            <v>Ruble</v>
          </cell>
          <cell r="I36">
            <v>30</v>
          </cell>
        </row>
        <row r="37">
          <cell r="G37" t="str">
            <v>AED</v>
          </cell>
          <cell r="H37" t="str">
            <v>UAE Dirham</v>
          </cell>
          <cell r="I37">
            <v>5.2</v>
          </cell>
        </row>
        <row r="38">
          <cell r="G38" t="str">
            <v>ANG</v>
          </cell>
          <cell r="H38" t="str">
            <v>Netherlands Antilliean Gulden</v>
          </cell>
          <cell r="I38">
            <v>2.57</v>
          </cell>
        </row>
        <row r="39">
          <cell r="G39" t="str">
            <v>AUD</v>
          </cell>
          <cell r="H39" t="str">
            <v>Australian Dollar</v>
          </cell>
          <cell r="I39">
            <v>1.78</v>
          </cell>
        </row>
        <row r="40">
          <cell r="G40" t="str">
            <v>BGN</v>
          </cell>
          <cell r="H40" t="str">
            <v>Bulgarian Lev</v>
          </cell>
          <cell r="I40">
            <v>1.96</v>
          </cell>
        </row>
        <row r="41">
          <cell r="G41" t="str">
            <v>BMD</v>
          </cell>
          <cell r="H41" t="str">
            <v>Bermudian Dollar</v>
          </cell>
          <cell r="I41">
            <v>1.42</v>
          </cell>
        </row>
        <row r="42">
          <cell r="G42" t="str">
            <v>BRL</v>
          </cell>
          <cell r="H42" t="str">
            <v xml:space="preserve">Brazilian Real </v>
          </cell>
          <cell r="I42">
            <v>2.77</v>
          </cell>
        </row>
        <row r="43">
          <cell r="G43" t="str">
            <v>BZD</v>
          </cell>
          <cell r="H43" t="str">
            <v>Belize Dollar</v>
          </cell>
          <cell r="I43">
            <v>2.84</v>
          </cell>
        </row>
        <row r="44">
          <cell r="G44" t="str">
            <v>CAD</v>
          </cell>
          <cell r="H44" t="str">
            <v>Canadian Dollar</v>
          </cell>
          <cell r="I44">
            <v>1.5</v>
          </cell>
        </row>
        <row r="45">
          <cell r="G45" t="str">
            <v>CNY</v>
          </cell>
          <cell r="H45" t="str">
            <v xml:space="preserve">Renminbi </v>
          </cell>
          <cell r="I45">
            <v>9.9</v>
          </cell>
        </row>
        <row r="46">
          <cell r="G46" t="str">
            <v>CZK</v>
          </cell>
          <cell r="H46" t="str">
            <v>Czech Koruna</v>
          </cell>
          <cell r="I46">
            <v>24.67</v>
          </cell>
        </row>
        <row r="47">
          <cell r="G47" t="str">
            <v>DKK</v>
          </cell>
          <cell r="H47" t="str">
            <v>Danish Krone</v>
          </cell>
          <cell r="I47">
            <v>7.46</v>
          </cell>
        </row>
        <row r="48">
          <cell r="G48" t="str">
            <v>EGP</v>
          </cell>
          <cell r="H48" t="str">
            <v>Egyptian Pound</v>
          </cell>
          <cell r="I48">
            <v>7.85</v>
          </cell>
        </row>
        <row r="49">
          <cell r="G49" t="str">
            <v xml:space="preserve">GEL </v>
          </cell>
          <cell r="H49" t="e">
            <v>#N/A</v>
          </cell>
        </row>
        <row r="50">
          <cell r="G50" t="str">
            <v>HRK</v>
          </cell>
          <cell r="H50" t="str">
            <v>Croatian Kuna</v>
          </cell>
          <cell r="I50">
            <v>7.14</v>
          </cell>
        </row>
        <row r="51">
          <cell r="G51" t="str">
            <v>HUF</v>
          </cell>
          <cell r="H51" t="str">
            <v>Hungarian Florint</v>
          </cell>
          <cell r="I51">
            <v>234.74</v>
          </cell>
        </row>
        <row r="52">
          <cell r="G52" t="str">
            <v>ILS</v>
          </cell>
          <cell r="H52" t="str">
            <v>Iseaeli New Sheqel</v>
          </cell>
          <cell r="I52">
            <v>4.95</v>
          </cell>
        </row>
        <row r="53">
          <cell r="G53" t="str">
            <v>ISK</v>
          </cell>
          <cell r="H53" t="str">
            <v>Icelandic Krona</v>
          </cell>
          <cell r="I53">
            <v>147.32</v>
          </cell>
        </row>
        <row r="54">
          <cell r="G54" t="str">
            <v>JPY</v>
          </cell>
          <cell r="H54" t="str">
            <v>Japan Yen</v>
          </cell>
          <cell r="I54">
            <v>149.91</v>
          </cell>
        </row>
        <row r="55">
          <cell r="G55" t="str">
            <v>KRW</v>
          </cell>
          <cell r="H55" t="str">
            <v>South Korean Won</v>
          </cell>
          <cell r="I55">
            <v>1723.89</v>
          </cell>
        </row>
        <row r="56">
          <cell r="G56" t="str">
            <v>KWD</v>
          </cell>
          <cell r="H56" t="str">
            <v>Kuwaiti Dinar</v>
          </cell>
          <cell r="I56">
            <v>0.38</v>
          </cell>
        </row>
        <row r="57">
          <cell r="G57" t="str">
            <v>KYD</v>
          </cell>
          <cell r="H57" t="str">
            <v>Cayman Island Dollar</v>
          </cell>
          <cell r="I57">
            <v>1.19</v>
          </cell>
        </row>
        <row r="58">
          <cell r="G58" t="str">
            <v>KZT</v>
          </cell>
          <cell r="H58" t="str">
            <v>Kazakhstani Tenge</v>
          </cell>
          <cell r="I58">
            <v>174.37</v>
          </cell>
        </row>
        <row r="59">
          <cell r="G59" t="str">
            <v>LTL</v>
          </cell>
          <cell r="H59" t="str">
            <v>Lithuanuan Litas</v>
          </cell>
          <cell r="I59">
            <v>3.48</v>
          </cell>
        </row>
        <row r="60">
          <cell r="G60" t="str">
            <v>NOK</v>
          </cell>
          <cell r="H60" t="str">
            <v>Norwegian Krone</v>
          </cell>
          <cell r="I60">
            <v>8.33</v>
          </cell>
        </row>
        <row r="61">
          <cell r="G61" t="str">
            <v>NZD</v>
          </cell>
          <cell r="H61" t="str">
            <v>New Zeland Dollar</v>
          </cell>
          <cell r="I61">
            <v>2.2000000000000002</v>
          </cell>
        </row>
        <row r="62">
          <cell r="G62" t="str">
            <v>OMR</v>
          </cell>
          <cell r="H62" t="str">
            <v>Oman Rial</v>
          </cell>
          <cell r="I62">
            <v>0.55000000000000004</v>
          </cell>
        </row>
        <row r="63">
          <cell r="G63" t="str">
            <v>PKR</v>
          </cell>
          <cell r="H63" t="str">
            <v>Pakistani Rupee</v>
          </cell>
          <cell r="I63">
            <v>111.97</v>
          </cell>
        </row>
        <row r="64">
          <cell r="G64" t="str">
            <v>PLN</v>
          </cell>
          <cell r="H64" t="str">
            <v>Polish Zloty</v>
          </cell>
          <cell r="I64">
            <v>3.41</v>
          </cell>
        </row>
        <row r="65">
          <cell r="G65" t="str">
            <v>QAR</v>
          </cell>
          <cell r="H65" t="str">
            <v>Qatari Riyal</v>
          </cell>
          <cell r="I65">
            <v>5.21</v>
          </cell>
        </row>
        <row r="66">
          <cell r="G66" t="str">
            <v>RON</v>
          </cell>
          <cell r="H66" t="str">
            <v>Romanian Leu</v>
          </cell>
          <cell r="I66">
            <v>3.78</v>
          </cell>
        </row>
        <row r="67">
          <cell r="G67" t="str">
            <v>SAR</v>
          </cell>
          <cell r="H67" t="str">
            <v>Saudi Riyal</v>
          </cell>
          <cell r="I67">
            <v>5.38</v>
          </cell>
        </row>
        <row r="68">
          <cell r="G68" t="str">
            <v>SEK</v>
          </cell>
          <cell r="H68" t="str">
            <v>Swedish Krona</v>
          </cell>
          <cell r="I68">
            <v>9.7799999999999994</v>
          </cell>
        </row>
        <row r="69">
          <cell r="G69" t="str">
            <v>SGD</v>
          </cell>
          <cell r="H69" t="str">
            <v>Singapore Dollar</v>
          </cell>
          <cell r="I69">
            <v>2</v>
          </cell>
        </row>
        <row r="70">
          <cell r="G70" t="str">
            <v>SKK</v>
          </cell>
          <cell r="H70" t="str">
            <v>Slovakia Koruna</v>
          </cell>
          <cell r="I70">
            <v>30</v>
          </cell>
        </row>
        <row r="71">
          <cell r="G71" t="str">
            <v>TRY</v>
          </cell>
          <cell r="H71" t="str">
            <v>Turkish New Lira</v>
          </cell>
          <cell r="I71">
            <v>1.82</v>
          </cell>
        </row>
        <row r="72">
          <cell r="G72" t="str">
            <v>UAH</v>
          </cell>
          <cell r="H72" t="str">
            <v>Ukrainian Hryvnia</v>
          </cell>
          <cell r="I72">
            <v>7.39</v>
          </cell>
        </row>
        <row r="73">
          <cell r="G73" t="str">
            <v>ZAR</v>
          </cell>
          <cell r="H73" t="str">
            <v>South African Rand</v>
          </cell>
          <cell r="I73">
            <v>11.85</v>
          </cell>
        </row>
        <row r="77">
          <cell r="G77" t="str">
            <v>Jan</v>
          </cell>
        </row>
        <row r="78">
          <cell r="G78" t="str">
            <v>Feb</v>
          </cell>
        </row>
        <row r="79">
          <cell r="G79" t="str">
            <v>Mar</v>
          </cell>
        </row>
        <row r="80">
          <cell r="G80" t="str">
            <v>Apr</v>
          </cell>
        </row>
        <row r="81">
          <cell r="G81" t="str">
            <v>May</v>
          </cell>
        </row>
        <row r="82">
          <cell r="G82" t="str">
            <v>Jun</v>
          </cell>
        </row>
        <row r="83">
          <cell r="G83" t="str">
            <v>Jul</v>
          </cell>
        </row>
        <row r="84">
          <cell r="G84" t="str">
            <v>Aug</v>
          </cell>
        </row>
        <row r="85">
          <cell r="G85" t="str">
            <v>Sep</v>
          </cell>
        </row>
        <row r="86">
          <cell r="G86" t="str">
            <v>Oct</v>
          </cell>
        </row>
        <row r="87">
          <cell r="G87" t="str">
            <v>Nov</v>
          </cell>
        </row>
        <row r="88">
          <cell r="G88" t="str">
            <v>Dec</v>
          </cell>
        </row>
        <row r="91">
          <cell r="G91">
            <v>2008</v>
          </cell>
        </row>
        <row r="92">
          <cell r="G92">
            <v>2009</v>
          </cell>
        </row>
        <row r="93">
          <cell r="G93">
            <v>2010</v>
          </cell>
        </row>
        <row r="94">
          <cell r="G94">
            <v>2011</v>
          </cell>
        </row>
        <row r="95">
          <cell r="G95">
            <v>2012</v>
          </cell>
        </row>
        <row r="96">
          <cell r="G96">
            <v>2013</v>
          </cell>
        </row>
        <row r="97">
          <cell r="G97">
            <v>2014</v>
          </cell>
        </row>
        <row r="98">
          <cell r="G98">
            <v>2015</v>
          </cell>
        </row>
        <row r="99">
          <cell r="G99">
            <v>2016</v>
          </cell>
        </row>
        <row r="100">
          <cell r="G100">
            <v>2017</v>
          </cell>
        </row>
        <row r="101">
          <cell r="G101">
            <v>2018</v>
          </cell>
        </row>
        <row r="102">
          <cell r="G102">
            <v>2019</v>
          </cell>
        </row>
        <row r="103">
          <cell r="G103">
            <v>2020</v>
          </cell>
        </row>
        <row r="104">
          <cell r="G104">
            <v>2021</v>
          </cell>
        </row>
        <row r="105">
          <cell r="G105">
            <v>2022</v>
          </cell>
        </row>
        <row r="106">
          <cell r="G106">
            <v>2023</v>
          </cell>
        </row>
        <row r="107">
          <cell r="G107">
            <v>2024</v>
          </cell>
        </row>
        <row r="108">
          <cell r="G108">
            <v>2025</v>
          </cell>
        </row>
      </sheetData>
      <sheetData sheetId="2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ДС"/>
      <sheetName val="Бюджет"/>
      <sheetName val="Эк-ка"/>
      <sheetName val=" 1.Расш"/>
      <sheetName val="2.Налог"/>
      <sheetName val="П"/>
      <sheetName val=" 3.ТБ_н"/>
      <sheetName val="4.ТБ_нп"/>
      <sheetName val=" 5.Н_дз"/>
      <sheetName val=" 6.Фин."/>
      <sheetName val="7.Инв"/>
      <sheetName val=" 8.Векс"/>
      <sheetName val="Э_нп"/>
      <sheetName val=" 11. КФ"/>
      <sheetName val=" 11.Б"/>
      <sheetName val="СВОДНАЯ"/>
      <sheetName val="Backup of BUDJ_02_00"/>
      <sheetName val="?"/>
      <sheetName val="прил.1"/>
      <sheetName val="прил.2"/>
      <sheetName val="прил.3"/>
      <sheetName val="план 4 кв."/>
      <sheetName val="план без КН"/>
      <sheetName val="Исп. прибыли"/>
      <sheetName val="Исп.прибыли без КН"/>
      <sheetName val="разраб табл"/>
      <sheetName val=" Форма по неосн деят."/>
      <sheetName val=" Фор.по неосн деят."/>
      <sheetName val="Лист1"/>
      <sheetName val="Лист2"/>
      <sheetName val="Лист3"/>
      <sheetName val="Пр.1"/>
      <sheetName val="пр1а"/>
      <sheetName val="пр1Б "/>
      <sheetName val="пр1В  "/>
      <sheetName val="пр2"/>
      <sheetName val="пр2тпп"/>
      <sheetName val="пр2 а"/>
      <sheetName val="Прил.3тпп"/>
      <sheetName val="Прил.3 (2)тпп"/>
      <sheetName val="Прил.6тпп"/>
      <sheetName val="Прил.4тпп"/>
      <sheetName val="Прил.5,1"/>
      <sheetName val="прил.5, 2"/>
      <sheetName val="Прил.6"/>
      <sheetName val="Прил.7"/>
      <sheetName val="Прил.9"/>
      <sheetName val="Прил.10"/>
      <sheetName val="Прил.11"/>
      <sheetName val="П-4"/>
      <sheetName val="П-4 2л."/>
      <sheetName val="240 план"/>
      <sheetName val="311"/>
      <sheetName val="Расходы (август)"/>
      <sheetName val="факт общ"/>
      <sheetName val="факт общ (руб)"/>
      <sheetName val="снг"/>
      <sheetName val="месяц"/>
      <sheetName val="затраты  2004"/>
      <sheetName val="Волгоград"/>
      <sheetName val="Астрахань"/>
      <sheetName val="Воронеж"/>
      <sheetName val="Ростов"/>
      <sheetName val="а-з2003-04"/>
      <sheetName val="факт ПЕРЕСЧЕТ 2003"/>
      <sheetName val="факт по н.б м-ц"/>
      <sheetName val="факт по н.б  снг"/>
      <sheetName val="факт по н.б  снг (руб)"/>
      <sheetName val="а-з подразделений"/>
      <sheetName val="Удельный вес"/>
      <sheetName val="Уд. вес (Волгоград)"/>
      <sheetName val="Уд. вес (Астрахань)"/>
      <sheetName val="Уд. вес (Воронеж)"/>
      <sheetName val="Уд. вес (Ростов) "/>
      <sheetName val="График(затраты)"/>
      <sheetName val="структура затрат"/>
      <sheetName val="структурные мат(т+эн) и пр"/>
      <sheetName val="Свод по подразделениям"/>
      <sheetName val="АУП"/>
      <sheetName val="1. ИСУ"/>
      <sheetName val="97 счет"/>
      <sheetName val="2. АСУ ТП"/>
      <sheetName val="3. Локальные ИС и ПП"/>
      <sheetName val="4. Выч.техника"/>
      <sheetName val="5. Связь"/>
      <sheetName val="6. Информ. безопасность"/>
      <sheetName val="7. Информ. обеспечение"/>
      <sheetName val="Служба транспорта и Сопр"/>
      <sheetName val="Проверка"/>
      <sheetName val="свод"/>
      <sheetName val="AccReport"/>
      <sheetName val="MTR_INDEX"/>
      <sheetName val="TOC"/>
      <sheetName val="HBS initial"/>
      <sheetName val="EURO"/>
      <sheetName val="Assumptions &amp; Inputs"/>
      <sheetName val="Summary"/>
      <sheetName val="Inputs"/>
      <sheetName val="Ф2005"/>
      <sheetName val="Econ Balance"/>
      <sheetName val="1_ ИСУ"/>
      <sheetName val="Служба трансп瀾Ꮰ爀Ꮰ吀Ꮧ氀·爰Ꮰ됀"/>
      <sheetName val="ТПП Л-Усинск"/>
      <sheetName val="Sheet1"/>
      <sheetName val="Sheet2"/>
      <sheetName val="Sheet3"/>
      <sheetName val="1NK"/>
      <sheetName val="Scenar"/>
      <sheetName val="р10.налоги"/>
      <sheetName val="Служба трансп瀾ዠ爀ዠ吀዗鰀·爰ዠ됀"/>
      <sheetName val="Ï"/>
      <sheetName val="ÍÄÑ"/>
      <sheetName val="Áþäæåò"/>
      <sheetName val="Ýê-êà"/>
      <sheetName val=" 1.Ðàñø"/>
      <sheetName val="2.Íàëîã"/>
      <sheetName val=" 3.ÒÁ_í"/>
      <sheetName val="4.ÒÁ_íï"/>
      <sheetName val=" 5.Í_äç"/>
      <sheetName val=" 6.Ôèí."/>
      <sheetName val="7.Èíâ"/>
      <sheetName val=" 8.Âåêñ"/>
      <sheetName val="Ý_íï"/>
      <sheetName val=" 11. ÊÔ"/>
      <sheetName val=" 11.Á"/>
      <sheetName val="ÑÂÎÄÍÀß"/>
      <sheetName val="ïðèë.1"/>
      <sheetName val="ïðèë.2"/>
      <sheetName val="ïðèë.3"/>
      <sheetName val="ïëàí 4 êâ."/>
      <sheetName val="ïëàí áåç ÊÍ"/>
      <sheetName val="Èñï. ïðèáûëè"/>
      <sheetName val="Èñï.ïðèáûëè áåç ÊÍ"/>
      <sheetName val="ðàçðàá òàáë"/>
      <sheetName val=" Ôîðìà ïî íåîñí äåÿò."/>
      <sheetName val=" Ôîð.ïî íåîñí äåÿò."/>
      <sheetName val="Ëèñò1"/>
      <sheetName val="Ëèñò2"/>
      <sheetName val="Ëèñò3"/>
      <sheetName val="Ïð.1"/>
      <sheetName val="ïð1à"/>
      <sheetName val="ïð1Á "/>
      <sheetName val="ïð1Â  "/>
      <sheetName val="ïð2"/>
      <sheetName val="ïð2òïï"/>
      <sheetName val="ïð2 à"/>
      <sheetName val="Ïðèë.3òïï"/>
      <sheetName val="Ïðèë.3 (2)òïï"/>
      <sheetName val="Ïðèë.6òïï"/>
      <sheetName val="Ïðèë.4òïï"/>
      <sheetName val="Ïðèë.5,1"/>
      <sheetName val="ïðèë.5, 2"/>
      <sheetName val="Ïðèë.6"/>
      <sheetName val="Ïðèë.7"/>
      <sheetName val="Ïðèë.9"/>
      <sheetName val="Ïðèë.10"/>
      <sheetName val="Ïðèë.11"/>
      <sheetName val="Ï-4"/>
      <sheetName val="Ï-4 2ë."/>
      <sheetName val="240 ïëàí"/>
      <sheetName val="Ðàñõîäû (àâãóñò)"/>
      <sheetName val="ôàêò îáù"/>
      <sheetName val="ôàêò îáù (ðóá)"/>
      <sheetName val="ñíã"/>
      <sheetName val="ìåñÿö"/>
      <sheetName val="çàòðàòû  2004"/>
      <sheetName val="Âîëãîãðàä"/>
      <sheetName val="Àñòðàõàíü"/>
      <sheetName val="Âîðîíåæ"/>
      <sheetName val="Ðîñòîâ"/>
      <sheetName val="à-ç2003-04"/>
      <sheetName val="ôàêò ÏÅÐÅÑ×ÅÒ 2003"/>
      <sheetName val="ôàêò ïî í.á ì-ö"/>
      <sheetName val="ôàêò ïî í.á  ñíã"/>
      <sheetName val="ôàêò ïî í.á  ñíã (ðóá)"/>
      <sheetName val="à-ç ïîäðàçäåëåíèé"/>
      <sheetName val="Óäåëüíûé âåñ"/>
      <sheetName val="Óä. âåñ (Âîëãîãðàä)"/>
      <sheetName val="Óä. âåñ (Àñòðàõàíü)"/>
      <sheetName val="Óä. âåñ (Âîðîíåæ)"/>
      <sheetName val="Óä. âåñ (Ðîñòîâ) "/>
      <sheetName val="Ãðàôèê(çàòðàòû)"/>
      <sheetName val="ñòðóêòóðà çàòðàò"/>
      <sheetName val="ñòðóêòóðíûå ìàò(ò+ýí) è ïð"/>
      <sheetName val="Ñâîä ïî ïîäðàçäåëåíèÿì"/>
      <sheetName val="ÀÓÏ"/>
      <sheetName val="1. ÈÑÓ"/>
      <sheetName val="97 ñ÷åò"/>
      <sheetName val="2. ÀÑÓ ÒÏ"/>
      <sheetName val="3. Ëîêàëüíûå ÈÑ è ÏÏ"/>
      <sheetName val="4. Âû÷.òåõíèêà"/>
      <sheetName val="5. Ñâÿçü"/>
      <sheetName val="6. Èíôîðì. áåçîïàñíîñòü"/>
      <sheetName val="7. Èíôîðì. îáåñïå÷åíèå"/>
      <sheetName val="Ñëóæáà òðàíñïîðòà è Ñîïð"/>
      <sheetName val="Ïðîâåðêà"/>
      <sheetName val="ñâîä"/>
      <sheetName val="1_ ÈÑÓ"/>
      <sheetName val="Ñëóæáà òðàíñï???????·???"/>
      <sheetName val="ÒÏÏ Ë-Óñèíñê"/>
      <sheetName val="#ССЫЛКА"/>
      <sheetName val="Chart"/>
      <sheetName val="стрృ_x0000__x0000__x0000_᠀_x0000_㜬_x0006__x0000_樀ᏠЀ"/>
      <sheetName val="_x0000__x0000_руктур_x0000__x0000__x0000__x0000__x0000__x0000__x0000__x0000__x0000__x0000__x0000__x0000_) _x0000__x0000__x0000__x0000_"/>
      <sheetName val=""/>
      <sheetName val="11"/>
      <sheetName val="_1_Расш"/>
      <sheetName val="2_Налог"/>
      <sheetName val="_3_ТБ_н"/>
      <sheetName val="4_ТБ_нп"/>
      <sheetName val="_5_Н_дз"/>
      <sheetName val="_6_Фин_"/>
      <sheetName val="7_Инв"/>
      <sheetName val="_8_Векс"/>
      <sheetName val="_11__КФ"/>
      <sheetName val="_11_Б"/>
      <sheetName val="_Форма_по_неосн_деят_"/>
      <sheetName val="_Фор_по_неосн_деят_"/>
      <sheetName val="прил_1"/>
      <sheetName val="прил_2"/>
      <sheetName val="прил_3"/>
      <sheetName val="план_4_кв_"/>
      <sheetName val="план_без_КН"/>
      <sheetName val="Исп__прибыли"/>
      <sheetName val="Исп_прибыли_без_КН"/>
      <sheetName val="Backup_of_BUDJ_02_00"/>
      <sheetName val="разраб_табл"/>
      <sheetName val="Пр_1"/>
      <sheetName val="пр1Б_"/>
      <sheetName val="пр1В__"/>
      <sheetName val="пр2_а"/>
      <sheetName val="Прил_3тпп"/>
      <sheetName val="Прил_3_(2)тпп"/>
      <sheetName val="Прил_6тпп"/>
      <sheetName val="Прил_4тпп"/>
      <sheetName val="Прил_5,1"/>
      <sheetName val="прил_5,_2"/>
      <sheetName val="Прил_6"/>
      <sheetName val="Прил_7"/>
      <sheetName val="Прил_9"/>
      <sheetName val="Прил_10"/>
      <sheetName val="Прил_11"/>
      <sheetName val="П-4_2л_"/>
      <sheetName val="240_план"/>
      <sheetName val="Расходы_(август)"/>
      <sheetName val="факт_общ"/>
      <sheetName val="факт_общ_(руб)"/>
      <sheetName val="затраты__2004"/>
      <sheetName val="факт_ПЕРЕСЧЕТ_2003"/>
      <sheetName val="факт_по_н_б_м-ц"/>
      <sheetName val="факт_по_н_б__снг"/>
      <sheetName val="факт_по_н_б__снг_(руб)"/>
      <sheetName val="а-з_подразделений"/>
      <sheetName val="Удельный_вес"/>
      <sheetName val="Уд__вес_(Волгоград)"/>
      <sheetName val="Уд__вес_(Астрахань)"/>
      <sheetName val="Уд__вес_(Воронеж)"/>
      <sheetName val="Уд__вес_(Ростов)_"/>
      <sheetName val="структура_затрат"/>
      <sheetName val="структурные_мат(т+эн)_и_пр"/>
      <sheetName val="Свод_по_подразделениям"/>
      <sheetName val="1__ИСУ"/>
      <sheetName val="97_счет"/>
      <sheetName val="2__АСУ_ТП"/>
      <sheetName val="3__Локальные_ИС_и_ПП"/>
      <sheetName val="4__Выч_техника"/>
      <sheetName val="5__Связь"/>
      <sheetName val="6__Информ__безопасность"/>
      <sheetName val="7__Информ__обеспечение"/>
      <sheetName val="Служба_транспорта_и_Сопр"/>
      <sheetName val="1__ИСУ1"/>
      <sheetName val="Служба_трансп瀾Ꮰ爀Ꮰ吀Ꮧ氀·爰Ꮰ됀"/>
      <sheetName val="ТПП_Л-Усинск"/>
      <sheetName val="HBS_initial"/>
      <sheetName val="р10_налоги"/>
      <sheetName val="Служба_трансп瀾ዠ爀ዠ吀዗鰀·爰ዠ됀"/>
      <sheetName val="_1_Ðàñø"/>
      <sheetName val="2_Íàëîã"/>
      <sheetName val="_3_ÒÁ_í"/>
      <sheetName val="4_ÒÁ_íï"/>
      <sheetName val="_5_Í_äç"/>
      <sheetName val="_6_Ôèí_"/>
      <sheetName val="7_Èíâ"/>
      <sheetName val="_8_Âåêñ"/>
      <sheetName val="_11__ÊÔ"/>
      <sheetName val="_11_Á"/>
      <sheetName val="ïðèë_1"/>
      <sheetName val="ïðèë_2"/>
      <sheetName val="ïðèë_3"/>
      <sheetName val="ïëàí_4_êâ_"/>
      <sheetName val="ïëàí_áåç_ÊÍ"/>
      <sheetName val="Èñï__ïðèáûëè"/>
      <sheetName val="Èñï_ïðèáûëè_áåç_ÊÍ"/>
      <sheetName val="ðàçðàá_òàáë"/>
      <sheetName val="_Ôîðìà_ïî_íåîñí_äåÿò_"/>
      <sheetName val="_Ôîð_ïî_íåîñí_äåÿò_"/>
      <sheetName val="Ïð_1"/>
      <sheetName val="ïð1Á_"/>
      <sheetName val="ïð1Â__"/>
      <sheetName val="ïð2_à"/>
      <sheetName val="Ïðèë_3òïï"/>
      <sheetName val="Ïðèë_3_(2)òïï"/>
      <sheetName val="Ïðèë_6òïï"/>
      <sheetName val="Ïðèë_4òïï"/>
      <sheetName val="Ïðèë_5,1"/>
      <sheetName val="ïðèë_5,_2"/>
      <sheetName val="Ïðèë_6"/>
      <sheetName val="Ïðèë_7"/>
      <sheetName val="Ïðèë_9"/>
      <sheetName val="Ïðèë_10"/>
      <sheetName val="Ïðèë_11"/>
      <sheetName val="Ï-4_2ë_"/>
      <sheetName val="240_ïëàí"/>
      <sheetName val="Ðàñõîäû_(àâãóñò)"/>
      <sheetName val="ôàêò_îáù"/>
      <sheetName val="ôàêò_îáù_(ðóá)"/>
      <sheetName val="çàòðàòû__2004"/>
      <sheetName val="ôàêò_ÏÅÐÅÑ×ÅÒ_2003"/>
      <sheetName val="ôàêò_ïî_í_á_ì-ö"/>
      <sheetName val="ôàêò_ïî_í_á__ñíã"/>
      <sheetName val="ôàêò_ïî_í_á__ñíã_(ðóá)"/>
      <sheetName val="à-ç_ïîäðàçäåëåíèé"/>
      <sheetName val="Óäåëüíûé_âåñ"/>
      <sheetName val="Óä__âåñ_(Âîëãîãðàä)"/>
      <sheetName val="Óä__âåñ_(Àñòðàõàíü)"/>
      <sheetName val="Óä__âåñ_(Âîðîíåæ)"/>
      <sheetName val="Óä__âåñ_(Ðîñòîâ)_"/>
      <sheetName val="ñòðóêòóðà_çàòðàò"/>
      <sheetName val="ñòðóêòóðíûå_ìàò(ò+ýí)_è_ïð"/>
      <sheetName val="Ñâîä_ïî_ïîäðàçäåëåíèÿì"/>
      <sheetName val="1__ÈÑÓ"/>
      <sheetName val="97_ñ÷åò"/>
      <sheetName val="2__ÀÑÓ_ÒÏ"/>
      <sheetName val="3__Ëîêàëüíûå_ÈÑ_è_ÏÏ"/>
      <sheetName val="4__Âû÷_òåõíèêà"/>
      <sheetName val="5__Ñâÿçü"/>
      <sheetName val="6__Èíôîðì__áåçîïàñíîñòü"/>
      <sheetName val="7__Èíôîðì__îáåñïå÷åíèå"/>
      <sheetName val="Ñëóæáà_òðàíñïîðòà_è_Ñîïð"/>
      <sheetName val="1__ÈÑÓ1"/>
      <sheetName val="Ñëóæáà_òðàíñï???????·???"/>
      <sheetName val="ÒÏÏ_Ë-Óñèíñê"/>
      <sheetName val="стрృ᠀㜬樀ᏠЀ"/>
      <sheetName val="руктур)_"/>
      <sheetName val="параметры"/>
      <sheetName val="стрృ???᠀?㜬_x0006_?樀ᏠЀ"/>
      <sheetName val="??руктур????????????) ????"/>
      <sheetName val="Служба трансп栾Ꮰ樀Ꮰ䰀Ꮧꠀ·樰Ꮰ가"/>
      <sheetName val="п.6.2.Перечень скв."/>
      <sheetName val="#REF"/>
      <sheetName val="стрృ???᠀?㜬?樀ᏠЀ"/>
      <sheetName val="??руктур????????????)_????"/>
      <sheetName val="Служба_трансп栾Ꮰ樀Ꮰ䰀Ꮧꠀ·樰Ꮰ가"/>
      <sheetName val="апрель"/>
      <sheetName val="ИнвестицииСвод"/>
      <sheetName val="_1_Расш1"/>
      <sheetName val="2_Налог1"/>
      <sheetName val="_3_ТБ_н1"/>
      <sheetName val="4_ТБ_нп1"/>
      <sheetName val="_5_Н_дз1"/>
      <sheetName val="_6_Фин_1"/>
      <sheetName val="7_Инв1"/>
      <sheetName val="_8_Векс1"/>
      <sheetName val="_11__КФ1"/>
      <sheetName val="_11_Б1"/>
      <sheetName val="Backup_of_BUDJ_02_001"/>
      <sheetName val="прил_21"/>
      <sheetName val="прил_31"/>
      <sheetName val="план_4_кв_1"/>
      <sheetName val="план_без_КН1"/>
      <sheetName val="Исп__прибыли1"/>
      <sheetName val="Исп_прибыли_без_КН1"/>
      <sheetName val="разраб_табл1"/>
      <sheetName val="_Форма_по_неосн_деят_1"/>
      <sheetName val="_Фор_по_неосн_деят_1"/>
      <sheetName val="Пр_11"/>
      <sheetName val="пр1Б_1"/>
      <sheetName val="пр1В__1"/>
      <sheetName val="пр2_а1"/>
      <sheetName val="Прил_3тпп1"/>
      <sheetName val="Прил_3_(2)тпп1"/>
      <sheetName val="Прил_6тпп1"/>
      <sheetName val="Прил_4тпп1"/>
      <sheetName val="Прил_5,11"/>
      <sheetName val="прил_5,_21"/>
      <sheetName val="Прил_61"/>
      <sheetName val="Прил_71"/>
      <sheetName val="Прил_91"/>
      <sheetName val="Прил_101"/>
      <sheetName val="Прил_111"/>
      <sheetName val="П-4_2л_1"/>
      <sheetName val="240_план1"/>
      <sheetName val="Расходы_(август)1"/>
      <sheetName val="факт_общ1"/>
      <sheetName val="факт_общ_(руб)1"/>
      <sheetName val="затраты__20041"/>
      <sheetName val="факт_ПЕРЕСЧЕТ_20031"/>
      <sheetName val="факт_по_н_б_м-ц1"/>
      <sheetName val="факт_по_н_б__снг1"/>
      <sheetName val="факт_по_н_б__снг_(руб)1"/>
      <sheetName val="а-з_подразделений1"/>
      <sheetName val="Удельный_вес1"/>
      <sheetName val="Уд__вес_(Волгоград)1"/>
      <sheetName val="Уд__вес_(Астрахань)1"/>
      <sheetName val="Уд__вес_(Воронеж)1"/>
      <sheetName val="_1_Расш2"/>
      <sheetName val="март 2007 приоб НП"/>
      <sheetName val="Баланс (Ф1)"/>
      <sheetName val="Уд__вес_(Росто_x0000__x0000__x0000_"/>
      <sheetName val="Уд__вес_(Росто_x0000__x0000_鵘_x0000_"/>
      <sheetName val="Уд__вес_(Росто_x0000__x0000_䚐_x0000_"/>
      <sheetName val="Уд__вес_(Росто_x0000__x0000__x0000_"/>
      <sheetName val="Уд__вес_(Росто_x0000__x0000_㱸_x0000_"/>
      <sheetName val="Уд__вес_(Росто_x0000__x0000_炨_x0000_"/>
      <sheetName val="Уд__вес_(Росто_x0000__x0000_࠘_x0000_"/>
      <sheetName val="Уд__вес_(Росто_x0000__x0000_挐_x0000_"/>
      <sheetName val="Уд__вес_(Росто_x0000__x0000_樐_x0000_"/>
      <sheetName val="Уд__вес_(Росто_x0000__x0000_欨_x0000_"/>
      <sheetName val="Уд__вес_(Росто丵〒_x0005__x0000_"/>
      <sheetName val="Уд__вес_(Росто_x0005__x0000__x0000_"/>
      <sheetName val="Уд__вес_(Росто헾】_x0005__x0000_"/>
      <sheetName val="4107"/>
      <sheetName val="52"/>
      <sheetName val="4105"/>
      <sheetName val="4106"/>
      <sheetName val="4102"/>
      <sheetName val="4103"/>
      <sheetName val="Уд__вес_(Росто_x0000_ȩ愌_x0012_"/>
      <sheetName val="Уд__вес_(Росто힨Ǚ踇⽑"/>
      <sheetName val="Уд__вес_(Росто_x0001__x0000_檀_x0000_"/>
      <sheetName val="Уд__вес_(Росто齘_x0013_龜_x0013_"/>
      <sheetName val="Уд__вес_(Росто_x0010__x0000_數៦"/>
      <sheetName val="Уд__вес_(Росто_x0000__x0000__x0000_"/>
      <sheetName val="Уд__вес_(Росто_x0000__x0000__x0000_"/>
      <sheetName val="Уд__вес_(Росто׃】_x0000__x0000_"/>
      <sheetName val="1,3 новая"/>
      <sheetName val="Сдача "/>
      <sheetName val="Форма 7 (Скважины)"/>
      <sheetName val="справка"/>
      <sheetName val="Non-Statistical Sampling"/>
      <sheetName val="ЯНВАРЬ"/>
      <sheetName val="Selection"/>
      <sheetName val="ЗАО_н.ит"/>
      <sheetName val="об9"/>
      <sheetName val="_"/>
      <sheetName val="FGL BS data"/>
      <sheetName val="Уд__вес_(Росто徸〒_x0005__x0000_"/>
      <sheetName val="Уд__вес_(Росто浘ƣ蔌⿸"/>
      <sheetName val="Уд__вес_(Росто_x0000__x0000_鳨_x0000_"/>
      <sheetName val="Уд__вес_(Росто_x0000__x0000_념_x0000_"/>
      <sheetName val="Уд__вес_(Росто׃⾿_x0000__x0000_"/>
      <sheetName val="Уд__вес_(Росто_x0010__x0000__xd818_ۥ"/>
      <sheetName val="Уд__вес_(Росто_x0010__x0000_8࡭"/>
      <sheetName val="Уд__вес_(Росто_x0010__x0000_줰࡬"/>
      <sheetName val="Уд__вес_(Росто_x0010__x0000_⟠޻"/>
      <sheetName val="Уд__вес_(Росто_x0000__x0000_到_x0000_"/>
      <sheetName val="Уд__вес_(Ростоⲩ睏䙘৤"/>
      <sheetName val="Уд__вес_(Росто_x0010__x0000_ۅ"/>
      <sheetName val="Уд__вес_(Росто_x0010__x0000_镀࿑"/>
      <sheetName val="Уд__вес_(Росто_x0010__x0000_䟠১"/>
      <sheetName val="Уд__вес_(Росто_x0010__x0000_䇸১"/>
      <sheetName val="Уд__вес_(Росто_x0010__x0000_⠘়"/>
      <sheetName val="Уд__вес_(Росто_x0010__x0000_֚"/>
      <sheetName val="Уд__вес_(Росто_x0000__x0000_贠_x0000_"/>
      <sheetName val="Уд__вес_(Росто_x0010__x0000_䠘ફ"/>
      <sheetName val="Уд__вес_(Росто_x0010__x0000_㮘ݙ"/>
      <sheetName val="Уд__вес_(Росто_x0001__x0000_门_x0000_"/>
      <sheetName val="Уд__вес_(Росто_x0000__x0000_쁰_x0000_"/>
      <sheetName val="Уд__вес_(Росто_x0000__x0000_䱸_x0000_"/>
      <sheetName val="Уд__вес_(Росто䡲⿟_x0000__x0000_"/>
      <sheetName val="Уд__вес_(Росто䡲る_x0000__x0000_"/>
      <sheetName val="Уд__вес_(Ростов)_1"/>
      <sheetName val="Уд__вес_(Росто嚈_x0016_丵⾒"/>
      <sheetName val="Income Statement"/>
      <sheetName val="Balance Sheet"/>
      <sheetName val="Уд__вес_(Росто_x0000__x0000_훈_x0000_"/>
      <sheetName val="Уд__вес_(Росто_x0010__x0000_ƈǀ"/>
      <sheetName val="Уд__вес_(Росто_x0010__x0000_䞨̓"/>
      <sheetName val="Уд__вес_(Росто_x0000__x0000_䃠_x0000_"/>
      <sheetName val="Уд__вес_(Росто狘ǣ੶⿬"/>
      <sheetName val="Уд__вес_(Росто׃〉_x0000__x0000_"/>
      <sheetName val="Уд__вес_(Росто玸 ੶⽚"/>
      <sheetName val="Уд__вес_(Росто県_x0016_睔_x0016_"/>
      <sheetName val="Уд__вес_(Росто礌/祔/"/>
      <sheetName val="Уд__вес_(Росто⩿⿚_x0005__x0000_"/>
      <sheetName val="Уд__вес_(Росто_x0010__x0000_ত"/>
      <sheetName val="2_Налог2"/>
      <sheetName val="_3_ТБ_н2"/>
      <sheetName val="4_ТБ_нп2"/>
      <sheetName val="_5_Н_дз2"/>
      <sheetName val="_6_Фин_2"/>
      <sheetName val="7_Инв2"/>
      <sheetName val="_8_Векс2"/>
      <sheetName val="_11__КФ2"/>
      <sheetName val="_11_Б2"/>
      <sheetName val="Backup_of_BUDJ_02_002"/>
      <sheetName val="прил_22"/>
      <sheetName val="прил_32"/>
      <sheetName val="план_4_кв_2"/>
      <sheetName val="план_без_КН2"/>
      <sheetName val="Исп__прибыли2"/>
      <sheetName val="Исп_прибыли_без_КН2"/>
      <sheetName val="разраб_табл2"/>
      <sheetName val="_Форма_по_неосн_деят_2"/>
      <sheetName val="_Фор_по_неосн_деят_2"/>
      <sheetName val="Пр_12"/>
      <sheetName val="пр1Б_2"/>
      <sheetName val="пр1В__2"/>
      <sheetName val="пр2_а2"/>
      <sheetName val="Прил_3тпп2"/>
      <sheetName val="Прил_3_(2)тпп2"/>
      <sheetName val="Прил_6тпп2"/>
      <sheetName val="Прил_4тпп2"/>
      <sheetName val="Прил_5,12"/>
      <sheetName val="прил_5,_22"/>
      <sheetName val="Прил_62"/>
      <sheetName val="Прил_72"/>
      <sheetName val="Прил_92"/>
      <sheetName val="Прил_102"/>
      <sheetName val="Прил_112"/>
      <sheetName val="П-4_2л_2"/>
      <sheetName val="240_план2"/>
      <sheetName val="Расходы_(август)2"/>
      <sheetName val="факт_общ2"/>
      <sheetName val="факт_общ_(руб)2"/>
      <sheetName val="затраты__20042"/>
      <sheetName val="факт_ПЕРЕСЧЕТ_20032"/>
      <sheetName val="факт_по_н_б_м-ц2"/>
      <sheetName val="факт_по_н_б__снг2"/>
      <sheetName val="факт_по_н_б__снг_(руб)2"/>
      <sheetName val="а-з_подразделений2"/>
      <sheetName val="Удельный_вес2"/>
      <sheetName val="Уд__вес_(Волгоград)2"/>
      <sheetName val="Уд__вес_(Астрахань)2"/>
      <sheetName val="Уд__вес_(Воронеж)2"/>
      <sheetName val="структура_затрат1"/>
      <sheetName val="структурные_мат(т+эн)_и_пр1"/>
      <sheetName val="Свод_по_подразделениям1"/>
      <sheetName val="1__ИСУ2"/>
      <sheetName val="97_счет1"/>
      <sheetName val="2__АСУ_ТП1"/>
      <sheetName val="3__Локальные_ИС_и_ПП1"/>
      <sheetName val="4__Выч_техника1"/>
      <sheetName val="5__Связь1"/>
      <sheetName val="6__Информ__безопасность1"/>
      <sheetName val="7__Информ__обеспечение1"/>
      <sheetName val="Служба_транспорта_и_Сопр1"/>
      <sheetName val="1__ИСУ3"/>
      <sheetName val="Служба_трансп瀾Ꮰ爀Ꮰ吀Ꮧ氀·爰Ꮰ됀1"/>
      <sheetName val="ТПП_Л-Усинск1"/>
      <sheetName val="HBS_initial1"/>
      <sheetName val="Служба_трансп瀾ዠ爀ዠ吀዗鰀·爰ዠ됀1"/>
      <sheetName val="_1_Ðàñø1"/>
      <sheetName val="2_Íàëîã1"/>
      <sheetName val="_3_ÒÁ_í1"/>
      <sheetName val="4_ÒÁ_íï1"/>
      <sheetName val="_5_Í_äç1"/>
      <sheetName val="_6_Ôèí_1"/>
      <sheetName val="7_Èíâ1"/>
      <sheetName val="_8_Âåêñ1"/>
      <sheetName val="_11__ÊÔ1"/>
      <sheetName val="_11_Á1"/>
      <sheetName val="ïðèë_21"/>
      <sheetName val="ïðèë_31"/>
      <sheetName val="ïëàí_4_êâ_1"/>
      <sheetName val="ïëàí_áåç_ÊÍ1"/>
      <sheetName val="Èñï__ïðèáûëè1"/>
      <sheetName val="Èñï_ïðèáûëè_áåç_ÊÍ1"/>
      <sheetName val="ðàçðàá_òàáë1"/>
      <sheetName val="_Ôîðìà_ïî_íåîñí_äåÿò_1"/>
      <sheetName val="_Ôîð_ïî_íåîñí_äåÿò_1"/>
      <sheetName val="Ïð_11"/>
      <sheetName val="ïð1Á_1"/>
      <sheetName val="ïð1Â__1"/>
      <sheetName val="ïð2_à1"/>
      <sheetName val="Ïðèë_3òïï1"/>
      <sheetName val="Ïðèë_3_(2)òïï1"/>
      <sheetName val="Ïðèë_6òïï1"/>
      <sheetName val="Ïðèë_4òïï1"/>
      <sheetName val="Ïðèë_5,11"/>
      <sheetName val="ïðèë_5,_21"/>
      <sheetName val="Ïðèë_61"/>
      <sheetName val="Ïðèë_71"/>
      <sheetName val="Ïðèë_91"/>
      <sheetName val="Ïðèë_101"/>
      <sheetName val="Ïðèë_111"/>
      <sheetName val="Ï-4_2ë_1"/>
      <sheetName val="240_ïëàí1"/>
      <sheetName val="Ðàñõîäû_(àâãóñò)1"/>
      <sheetName val="ôàêò_îáù1"/>
      <sheetName val="ôàêò_îáù_(ðóá)1"/>
      <sheetName val="çàòðàòû__20041"/>
      <sheetName val="ôàêò_ÏÅÐÅÑ×ÅÒ_20031"/>
      <sheetName val="ôàêò_ïî_í_á_ì-ö1"/>
      <sheetName val="ôàêò_ïî_í_á__ñíã1"/>
      <sheetName val="ôàêò_ïî_í_á__ñíã_(ðóá)1"/>
      <sheetName val="à-ç_ïîäðàçäåëåíèé1"/>
      <sheetName val="Óäåëüíûé_âåñ1"/>
      <sheetName val="Óä__âåñ_(Âîëãîãðàä)1"/>
      <sheetName val="Óä__âåñ_(Àñòðàõàíü)1"/>
      <sheetName val="Óä__âåñ_(Âîðîíåæ)1"/>
      <sheetName val="Óä__âåñ_(Ðîñòîâ)_1"/>
      <sheetName val="ñòðóêòóðà_çàòðàò1"/>
      <sheetName val="ñòðóêòóðíûå_ìàò(ò+ýí)_è_ïð1"/>
      <sheetName val="Ñâîä_ïî_ïîäðàçäåëåíèÿì1"/>
      <sheetName val="1__ÈÑÓ2"/>
      <sheetName val="97_ñ÷åò1"/>
      <sheetName val="2__ÀÑÓ_ÒÏ1"/>
      <sheetName val="3__Ëîêàëüíûå_ÈÑ_è_ÏÏ1"/>
      <sheetName val="4__Âû÷_òåõíèêà1"/>
      <sheetName val="5__Ñâÿçü1"/>
      <sheetName val="6__Èíôîðì__áåçîïàñíîñòü1"/>
      <sheetName val="7__Èíôîðì__îáåñïå÷åíèå1"/>
      <sheetName val="Ñëóæáà_òðàíñïîðòà_è_Ñîïð1"/>
      <sheetName val="1__ÈÑÓ3"/>
      <sheetName val="Ñëóæáà_òðàíñï???????·???1"/>
      <sheetName val="ÒÏÏ_Ë-Óñèíñê1"/>
      <sheetName val="р10_налоги1"/>
      <sheetName val="??руктур????????????)_????1"/>
      <sheetName val="Служба_трансп栾Ꮰ樀Ꮰ䰀Ꮧꠀ·樰Ꮰ가1"/>
      <sheetName val="п_6_2_Перечень_скв_"/>
      <sheetName val="Уд__вес_(Росто_x0010__x0000__xdf50_ٿ"/>
      <sheetName val="Уд__вес_(Росто_x0010__x0000_֜"/>
      <sheetName val="Уд__вес_(Росто_x0010__x0000_܅"/>
      <sheetName val="Уд__вес_(Росто_x0010__x0000_᱀ܰ"/>
      <sheetName val="Уд__вес_(Росто畠_x0013_ꮸ】"/>
      <sheetName val="Уд__вес_(Росто_x0000__x0000_늠_x0000_"/>
      <sheetName val="стрృ"/>
      <sheetName val="_1_爃/_x0000_砀"/>
      <sheetName val="_1_爃/_x0000_ࠀ"/>
      <sheetName val="_1_爅/_x0000_"/>
      <sheetName val="_1_爂/_x0000_⠀"/>
      <sheetName val="1,3 퀀㽛笀襍/"/>
      <sheetName val="1,3 /_x0000_堀]_x0000_"/>
      <sheetName val="1,3 0_x0000_堀]_x0000_"/>
      <sheetName val="Уд__вес_(Росто_x0001__x0000_埠_x0000_"/>
      <sheetName val="Уд__вес_(Росто_x0001__x0000_鎀_x0000_"/>
      <sheetName val="Уд__вес_(Росто_x0000__x0000_ⓐ_x0000_"/>
      <sheetName val="Уд__вес_(Росто⟦睏浘ࣨ"/>
      <sheetName val="Уд__вес_(Росто_x0010__x0000_똠֙"/>
      <sheetName val="Уд__вес_(Росто⟦睏賨¢"/>
      <sheetName val="Уд__вес_(Росто_x0010__x0000_⧘ڒ"/>
      <sheetName val="Уд__вес_(Росто_x0001__x0000_퀸_x0000_"/>
      <sheetName val="Уд__вес_(Росто_x0001__x0000_〸_x0000_"/>
      <sheetName val="Уд__вес_(Росто_x0001__x0000_厀_x0000_"/>
      <sheetName val="Уд__вес_(Росто_x0001__x0000_詈_x0000_"/>
      <sheetName val="Уд__вес_(Росто⟦睏گ"/>
      <sheetName val="Уд__вес_(Росто_x0010__x0000_膈ݛ"/>
      <sheetName val="Уд__вес_(Росто_x0000__x0000_珰_x0000_"/>
      <sheetName val="Уд__вес_(Росто_x0001__x0000_䇀_x0000_"/>
      <sheetName val="Уд__вес_(Росто_x0010__x0000_㷈਺"/>
      <sheetName val="Уд__вес_(Росто_x0010__x0000_蚐਺"/>
      <sheetName val="Уд__вес_(Росто⟦睏薰਺"/>
      <sheetName val="Уд__вес_(Росто_x0001__x0000_쐨_x0000_"/>
      <sheetName val="Уд__вес_(Росто_x0001__x0000_쎀_x0000_"/>
      <sheetName val="Уд__вес_(Росто_x0001__x0000_쉨_x0000_"/>
      <sheetName val="Уд__вес_(Росто_x0000__x0000_摠_x0000_"/>
      <sheetName val="Уд__вес_(Росто_x0001__x0000_锈_x0000_"/>
      <sheetName val="Уд__вес_(Росто_x0001__x0000_눰_x0000_"/>
      <sheetName val="Уд__вес_(Росто_x0000__x0000_˘_x0000_"/>
      <sheetName val="Уд__вес_(Росто_x0001__x0000_˘_x0000_"/>
      <sheetName val="Уд__вес_(Росто_x0001__x0000_馠_x0000_"/>
      <sheetName val="Уд__вес_(Росто⟦睏彐օ"/>
      <sheetName val="Уд__вес_(Росто䩅〢_x0005__x0000_"/>
      <sheetName val="Уд__вес_(Росто徸⾉_x0005__x0000_"/>
      <sheetName val="Уд__вес_(Росто⩿〚_x0005__x0000_"/>
      <sheetName val="Уд__вес_(Росто注ࡒ踇』"/>
      <sheetName val="Уд__вес_(Росто_x0000__x0000_绠_x0000_"/>
      <sheetName val="Уд__вес_(Росто竈_x0013_笌_x0013_"/>
      <sheetName val="Уд__вес_(Росто轀_x001b_⩿⿭"/>
      <sheetName val="Уд__вес_(Росто_x0000__x0000_謨_x0000_"/>
      <sheetName val="Уд__вес_(Росто_x0000__x0000_需_x0000_"/>
      <sheetName val="Уд__вес_(Росто_x0010__x0000_쾈ଖ"/>
      <sheetName val="Уд__вес_(Росто_x0000__x0000_䲰_x0000_"/>
      <sheetName val="Уд__вес_(Росто㍈ڑ踇』"/>
      <sheetName val="Уд__вес_(Ростоퟠ$踇⽳"/>
      <sheetName val="Уд__вес_(Росто骸੶踇⽳"/>
      <sheetName val="исходные данные"/>
      <sheetName val="расчетные таблицы"/>
      <sheetName val="Уд__вес_(Росто_x0000__x0000__x0000_"/>
      <sheetName val="Уд__вес_(Росто_x0000__x0000__x0000_"/>
      <sheetName val="Уд__вес_(Росто_x0000__x0000_鏰_x0000_"/>
      <sheetName val="Уд__вес_(Росто_x0000__x0000_呠_x0000_"/>
      <sheetName val="Уд__вес_(Росто_x0000__x0000__x0000_"/>
      <sheetName val="Уд__вес_(Росто_x0000__x0000__x0000_"/>
      <sheetName val="Уд__вес_(Росто_x0000__x0000_鯐_x0000_"/>
      <sheetName val="Уд__вес_(Росто_x0000__x0000_윀_x0000_"/>
      <sheetName val="Уд__вес_(Росто_x0000__x0000_䎀_x0000_"/>
      <sheetName val="Уд__вес_(Росто_x0000__x0000_䇀_x0000_"/>
      <sheetName val="Уд__вес_(Росто_x0000__x0000_က_x0000_"/>
      <sheetName val="Уд__вес_(Росто_x0000__x0000__x0000_"/>
      <sheetName val="Уд__вес_(Росто_x0000__x0000_쪀_x0000_"/>
      <sheetName val="Уд__вес_(Росто_x0000__x0000_䱀_x0000_"/>
      <sheetName val="Уд__вес_(Росто_x0000__x0000_䪀_x0000_"/>
      <sheetName val="Уд__вес_(Росто_x0000__x0000_蠘_x0000_"/>
      <sheetName val="Уд__вес_(Росто_x0010__x0000_ࣴ"/>
      <sheetName val="Уд__вес_(Росто_x0000__x0000_환_x0000_"/>
      <sheetName val="Уд__вес_(Росто豸㽜踇』"/>
      <sheetName val="Уд__вес_(Росто_x0010__x0000_뼘ց"/>
      <sheetName val="Уд__вес_(Росто_x0010__x0000_뮘২"/>
      <sheetName val="Уд__вес_(Росто_x0010__x0000_ࡐܥ"/>
      <sheetName val="Уд__вес_(Росто_x0000__x0000__x0000_"/>
      <sheetName val="Уд__вес_(Росто_x0010__x0000_菰୓"/>
      <sheetName val="Уд__вес_(Росто_x0010__x0000_힨ତ"/>
      <sheetName val="Уд__вес_(Росто_x0010__x0000_獈ಇ"/>
      <sheetName val="Уд__вес_(Росто_x0010__x0000_阠୮"/>
      <sheetName val="Уд__вес_(Росто_x0010__x0000_ඐ֓"/>
      <sheetName val="Уд__вес_(Росто_x0000__x0000_펀_x0000_"/>
      <sheetName val="Уд__вес_(Росто_x0010__x0000_ᔭ"/>
      <sheetName val="Уд__вес_(Росто_x0010__x0000_鋘ᾀ"/>
      <sheetName val="Уд__вес_(Росто_x0010__x0000_嶐֒"/>
      <sheetName val="Уд__вес_(Росто_x0010__x0000_窸ౘ"/>
      <sheetName val="Уд__вес_(Росто_x0000__x0000_䀀_x0000_"/>
      <sheetName val="Уд__вес_(Росто_x0000__x0000_⃠_x0000_"/>
      <sheetName val="Уд__вес_(Росто_x0000__x0000_裀_x0000_"/>
      <sheetName val="Уд__вес_(Росто_x0000__x0000_퍈_x0000_"/>
      <sheetName val="Уд__вес_(Росто_x0000__x0000_噘_x0000_"/>
      <sheetName val="Уд__вес_(Росто밈ᤗ踇』"/>
      <sheetName val="Уд__вес_(Росто挔_x0013_竖め"/>
      <sheetName val="Уд__вес_(Росто_x0000__x0000_䂨_x0000_"/>
      <sheetName val="Уд__вес_(Росто咘í虝む"/>
      <sheetName val="Уд__вес_(Росто_x0010__x0000_检ਅ"/>
      <sheetName val="Уд__вес_(Росто_x0010__x0000_쐨֠"/>
      <sheetName val="Уд__вес_(Росто_x0000__x0000_陘_x0000_"/>
      <sheetName val="Уд__вес_(Росто_x0010__x0000_ற"/>
      <sheetName val="Уд__вес_(Росто_x0010__x0000_⸀ۏ"/>
      <sheetName val="Уд__вес_(Росто൓踇⼝"/>
      <sheetName val="Уд__вес_(Росто_x0010__x0000_দ"/>
      <sheetName val="Уд__вес_(Росто踇⿐_x0000__x0000_"/>
      <sheetName val="Уд__вес_(Росто_x0010__x0000_㹰̲"/>
      <sheetName val="Уд__вес_(Росто_x0010__x0000_櫰ਸ"/>
      <sheetName val="Уд__вес_(Росто_x0010__x0000__xdf18_࢒"/>
      <sheetName val="Уд__вес_(Росто_x0010__x0000_판ڈ"/>
      <sheetName val="Уд__вес_(Росто_x0010__x0000_ᎀʰ"/>
      <sheetName val="Уд__вес_(Росто_x0000__x0000_㝰_x0000_"/>
      <sheetName val="Уд__вес_(Ростоᠴ踇』"/>
      <sheetName val="Уд__вес_(Росто_x0010__x0000_炨ऴ"/>
      <sheetName val="Уд__вес_(Росто篐ڬ踇』"/>
      <sheetName val="Уд__вес_(Росто뎀࢈踇』"/>
      <sheetName val="Уд__вес_(Росто_x0010__x0000_਴"/>
      <sheetName val="Уд__вес_(Росто⍈᮪踇』"/>
      <sheetName val="Уд__вес_(Росто_x0000__x0000_覠_x0000_"/>
      <sheetName val="Уд__вес_(Росто_x0010__x0000_ᔀ"/>
      <sheetName val="Уд__вес_(Росто_x0010__x0000_媸ܒ"/>
      <sheetName val="Уд__вес_(Росто_x0010__x0000_몸௹"/>
      <sheetName val="Уд__вес_(Росто䜸¦踇』"/>
      <sheetName val="Уд__вес_(Росто_x0010__x0000_쓐ி"/>
      <sheetName val="Уд__вес_(Росто_x0010__x0000__xdce8_պ"/>
      <sheetName val="Уд__вес_(Росто_x0010__x0000_뚐Ĵ"/>
      <sheetName val="Уд__вес_(Росто_x0000__x0000__x0013_"/>
      <sheetName val="Уд__вес_(Росто_x0010__x0000_칰ढ"/>
      <sheetName val="Уд__вес_(Росто_x0000__x0000_芠_x0000_"/>
      <sheetName val="Уд__вес_(Росто_x0000__x0000_顐_x0000_"/>
      <sheetName val="Уд__вес_(Ростоꖨ_x0013_헾】"/>
      <sheetName val="Уд__вес_(Росто_x0000__x0000__x0000_"/>
      <sheetName val="Уд__вес_(Росто_xde70_Ᏺ踇』"/>
      <sheetName val="Уд__вес_(Росто_x0010__x0000_ڭ"/>
      <sheetName val="Уд__вес_(Росто_x0010__x0000_펀চ"/>
      <sheetName val="Уд__вес_(Росто_x0010__x0000_瀸ዋ"/>
      <sheetName val="Уд__вес_(Росто_x0010__x0000_谈ປ"/>
      <sheetName val="Уд__вес_(Росто_x0000__x0000_¨_x0000_"/>
      <sheetName val="Уд__вес_(Росто_x0010__x0000__xdf50_ޮ"/>
      <sheetName val="Уд__вес_(Росто_x0000__x0000__x0000_"/>
      <sheetName val="Уд__вес_(Росто_x0010__x0000_盈༛"/>
      <sheetName val="Уд__вес_(Росто_x0000__x0000_检_x0000_"/>
      <sheetName val="Уд__вес_(Росто罨_x0013_徸〒"/>
      <sheetName val="Уд__вес_(Росто姬$娴$"/>
      <sheetName val="Уд__вес_(Росто闰⾛_x0005__x0000_"/>
      <sheetName val="Уд__вес_(Росто_x0010__x0000_錐֟"/>
      <sheetName val="Уд__вес_(Росто_x0010__x0000_ࣀն"/>
      <sheetName val="Уд__вес_(Росто_x0010__x0000_㚐ܸ"/>
      <sheetName val="Уд__вес_(Росто_x0010__x0000_칰៏"/>
      <sheetName val="Уд__вес_(Росто弬め_x0005__x0000_"/>
      <sheetName val="Уд__вес_(Ростоⱸ୶踇』"/>
      <sheetName val="Уд__вес_(Росто판੃踇』"/>
      <sheetName val="Уд__вес_(Росто_x0010__x0000_ְע"/>
      <sheetName val="Уд__вес_(Росто襨͕踇『"/>
      <sheetName val="Уд__вес_(Росто_x0000__x0000_苘_x0000_"/>
      <sheetName val="Уд__вес_(Росто_x0000__x0000_迀_x0000_"/>
      <sheetName val="Уд__вес_(Росто฀Ơ踇⽋"/>
      <sheetName val="Уд__вес_(Росто_x0000__x0000_䜀_x0000_"/>
      <sheetName val="Уд__вес_(Росто_x0000__x0000_딈_x0000_"/>
      <sheetName val="Уд__вес_(Росто_x0000__x0000__x0000_"/>
      <sheetName val="Уд__вес_(Росто_x0000__x0000__x0000_"/>
      <sheetName val="Уд__вес_(Росто_x0000__x0000_巈_x0000_"/>
      <sheetName val="Уд__вес_(Росто_x0000__x0000_阠_x0000_"/>
      <sheetName val="Уд__вес_(Росто㥨ᇤ踇』"/>
      <sheetName val="Уд__вес_(Росто_x0010__x0000_巈સ"/>
      <sheetName val="Уд__вес_(Росто_x0000__x0000_쉨_x0000_"/>
      <sheetName val="Уд__вес_(Росто_x0000__x0000_㣀_x0000_"/>
      <sheetName val="Уд__вес_(Росто_x0000__x0000_쀀_x0000_"/>
      <sheetName val="Уд__вес_(Росто_x0000__x0000__x0000_"/>
      <sheetName val="Уд__вес_(Росто_x0000__x0000_訐_x0000_"/>
      <sheetName val="Уд__вес_(Росто_x0000__x0000_남_x0000_"/>
      <sheetName val="Уд__вес_(Росто헾⽵_x0005__x0000_"/>
      <sheetName val="Уд__вес_(Росто_x0000__x0000_ʠ_x0000_"/>
      <sheetName val="Уд__вес_(Росто_x0000__x0000__x0000_"/>
      <sheetName val="Уд__вес_(Росто_x0000__x0000_㘠_x0000_"/>
      <sheetName val="Уд__вес_(Росто_x0000__x0000_튠_x0000_"/>
      <sheetName val="Уд__вес_(Росто_x0000__x0000_㋘_x0000_"/>
      <sheetName val="Уд__вес_(Росто_x0000__x0000_䁰_x0000_"/>
      <sheetName val="Уд__вес_(Росто_x0010__x0000_ඐ࠻"/>
      <sheetName val="Уд__вес_(Росто_x0010__x0000_놈஀"/>
      <sheetName val="Уд__вес_(Росто壠1夬1"/>
      <sheetName val="Уд__вес_(Росто_x0000__x0000_廠_x0000_"/>
      <sheetName val="Уд__вес_(Росто_x0000__x0000_絘_x0000_"/>
      <sheetName val="Уд__вес_(Росто鐸_x001c_ᥨԱ"/>
      <sheetName val="Уд__вес_(Росто_x0010__x0000_⟠ஓ"/>
      <sheetName val="Уд__вес_(Росто锼_x0013_閄_x0013_"/>
      <sheetName val="Уд__вес_(Росто睮め_x0005__x0000_"/>
      <sheetName val="Уд__вес_(Росто奰0妼0"/>
      <sheetName val="Уд__вес_(Росто_x0000__x0000_⌐_x0000_"/>
      <sheetName val="Уд__вес_(Росто_x0000__x0000_䄘_x0000_"/>
      <sheetName val="Уд__вес_(Росто_x0000__x0000_폰_x0000_"/>
      <sheetName val="Уд__вес_(Росто壆る_x0000__x0000_"/>
      <sheetName val="Уд__вес_(Росто_x0000__x0000_魠_x0000_"/>
      <sheetName val="Уд__вес_(Росто_x0000__x0000_㜸_x0000_"/>
      <sheetName val="Уд__вес_(Росто_x0000__x0000_肨_x0000_"/>
      <sheetName val="Уд__вес_(Росто攰_x0013_ꮸ】"/>
      <sheetName val="Уд__вес_(Росто_x0010__x0000_㪸ࠣ"/>
      <sheetName val="Уд__вес_(Росто_x0010__x0000_㋘տ"/>
      <sheetName val="Уд__вес_(Росто_x0010__x0000_䕀ৢ"/>
      <sheetName val="Уд__вес_(Росто_x0010__x0000_큰"/>
      <sheetName val="Уд__вес_(Росто_x0010__x0000__xdfc0_"/>
      <sheetName val="Уд__вес_(Росто_x0010__x0000_핀"/>
      <sheetName val="Уд__вес_(Ростоⲩ睏櫰"/>
      <sheetName val="Уд__вес_(Росто_x0010__x0000_エտ"/>
      <sheetName val="Уд__вес_(Ростоⲩ睏抠"/>
      <sheetName val="Уд__вес_(Ростоⲩ睏㡐տ"/>
      <sheetName val="Уд__вес_(Росто_x0010__x0000_㼘տ"/>
      <sheetName val="Уд__вес_(Росто_x0000__x0000_휸_x0000_"/>
      <sheetName val="Уд__вес_(Росто_x0000__x0000_塚_x0000_"/>
      <sheetName val="Уд__вес_(Росто_x0001__x0000_¨_x0000_"/>
      <sheetName val="Уд__вес_(Росто_x0000__x0000_郠_x0000_"/>
      <sheetName val="Уд__вес_(Росто_x0000__x0000_ϰ_x0000_"/>
      <sheetName val="Уд__вес_(Росто_x0000__x0000_䣸_x0000_"/>
      <sheetName val="Уд__вес_(Росто_x0000__x0000__x0000_"/>
      <sheetName val="Уд__вес_(Росто_x0000__x0000_ﾈ_x0000_"/>
      <sheetName val="Уд__вес_(Росто_x0000__x0000_曈_x0000_"/>
      <sheetName val="Уд__вес_(Росто_x0000__x0000__x0000_"/>
      <sheetName val="Уд__вес_(Росто_x0000__x0000_햰_x0000_"/>
      <sheetName val="Уд__вес_(Росто贘_x0013_Ს"/>
      <sheetName val="Уд__вес_(Росто贘_x0013__xddc8_ߕ"/>
      <sheetName val="Уд__вес_(Росто_x0000__x0000_蕸_x0000_"/>
      <sheetName val="Уд__вес_(Росто౾踇⽪"/>
      <sheetName val="Уд__вес_(Росто_x0000__x0000__x0000_"/>
      <sheetName val="Уд__вес_(Росто_x0000__x0000_篐_x0000_"/>
      <sheetName val="Уд__вес_(Росто_x0000__x0000__x0000_"/>
      <sheetName val="Уд__вес_(Росто_x0000__x0000_嫰_x0000_"/>
      <sheetName val="Уд__вес_(Росто_x0000__x0000_푠_x0000_"/>
      <sheetName val="Уд__вес_(Росто_x0000__x0000_㩈_x0000_"/>
      <sheetName val="Уд__вес_(Росто_x0000__x0000_臀_x0000_"/>
      <sheetName val="Уд__вес_(Росто햰୏踇』"/>
      <sheetName val="Уд__вес_(Ростоム୎踇』"/>
      <sheetName val="Уд__вес_(Росто倸ۆ踇』"/>
      <sheetName val="Уд__вес_(Росто뜸ୗ踇』"/>
      <sheetName val="Уд__вес_(Росто喈&quot;徸⽽"/>
      <sheetName val="Уд__вес_(Росто鉸)䛈̹"/>
      <sheetName val="Уд__вес_(Росто顈1ꨐଡ"/>
      <sheetName val="Уд__вес_(Ростоרಶ䡲〴"/>
      <sheetName val="Уд__вес_(Росто灸_x001a_৸"/>
      <sheetName val="Уд__вес_(Росто闸_x001a_飀᎒"/>
      <sheetName val="Уд__вес_(Росто_x0000__x0000_쓐_x0000_"/>
      <sheetName val="Уд___x0012__x0012__x0012__x0012__x0012__x0012__x0012__x0012__x0008__x0008__x0008__x0008__x0008__x0006_"/>
      <sheetName val="_x0000__x0015__x0000__x0007__x0000__x0007__x0000__x000b_"/>
      <sheetName val="Уд__вес_(Росто_x0000__x0000_몀_x0000_"/>
      <sheetName val="Уд__вес_(Росто_x0000__x0000_豸_x0000_"/>
      <sheetName val="Уд__вес_(Росто_x0000__x0000__x0000_"/>
      <sheetName val="Уд__вес_(Росто僘_x001b_數ࠪ"/>
      <sheetName val="Уд__вес_(Росто獘_x001b_ۈ૆"/>
      <sheetName val="Уд__вес_(Росто僘_x001b_Ἐਿ"/>
      <sheetName val="Уд__вес_(Росто獘_x001b_殘ધ"/>
      <sheetName val="Уд__вес_(Росто僘_x001b_Ṱ$"/>
      <sheetName val="Уд__вес_(Росто獘_x001b_뚐ਿ"/>
      <sheetName val="Уд__вес_(Росто_x0000__x0000__x0000_"/>
      <sheetName val="Уд__вес_(Росто_x0000__x0000_䔈_x0000_"/>
      <sheetName val="Уд__вес_(Росто_x0010__x0000_㨐ั"/>
      <sheetName val="Уд__вес_(Росто_x0000__x0000_嘠_x0000_"/>
      <sheetName val="Уд__вес_(Росто_x0010__x0000_Ṱʓ"/>
      <sheetName val="Уд__вес_(Росто_x0000__x0000__x0000_"/>
      <sheetName val="Уд__вес_(Росто䑲⿹_x0000__x0000_"/>
      <sheetName val="Уд__вес_(Росто_x0000__x0000_㱀_x0000_"/>
      <sheetName val="Уд__вес_(Росто_x0000__x0000_泌_x0000_"/>
      <sheetName val="Уд__вес_(Росто_x0000__x0000_덈_x0000_"/>
      <sheetName val="Уд__вес_(Росто_x0000__x0000_锈_x0000_"/>
      <sheetName val="Уд__вес_(Росто_x0000__x0000_唈_x0000_"/>
      <sheetName val="Уд__вес_(Росто_x0000__x0000_惠_x0000_"/>
      <sheetName val="Уд__вес_(Росто_x0000__x0000__x0000_"/>
      <sheetName val="Уд__вес_(Росто_x0000__x0000_倀_x0000_"/>
      <sheetName val="Уд__вес_(Росто_x0000__x0000_佐_x0000_"/>
      <sheetName val="Уд__вес_(Росто_x0000__x0000_쨐_x0000_"/>
      <sheetName val="Уд__вес_(Росто_x0000__x0000_蕀_x0000_"/>
      <sheetName val="Уд__вес_(Росто_x0000__x0000_匐_x0000_"/>
      <sheetName val="Уд__вес_(Росто焘_x0013_岰ڙ"/>
      <sheetName val="Уд__вес_(Росто_x0000__x0000_豀_x0000_"/>
      <sheetName val="Уд__вес_(Росто_x0000__x0000__x0000_"/>
      <sheetName val="Уд__вес_(Росто_x0000__x0000__x0000_"/>
      <sheetName val="Уд__вес_(Росто_x0000__x0000_峨_x0000_"/>
      <sheetName val="Уд__вес_(Росто_x0000__x0000_㉨_x0000_"/>
      <sheetName val="Уд__вес_(Росто_x0000__x0000_꺨_x0000_"/>
      <sheetName val="Уд__вес_(Росто_x0000__x0000_游_x0000_"/>
      <sheetName val="Уд__вес_(Росто_x0000__x0000_䞨_x0000_"/>
      <sheetName val="Уд__вес_(Росто뚆畮⃠޷"/>
      <sheetName val="Уд__вес_(Росто瓐ଫ䡲⾐"/>
      <sheetName val="Уд__вес_(Росто_x0000__x0000_ㄘ_x0000_"/>
      <sheetName val="Уд__вес_(Росто锘_x0018_ꀸ஡"/>
      <sheetName val="Уд__вес_(Росто_x0010__x0000_퓐ऊ"/>
      <sheetName val="Уд__вес_(Росто鴠ƴ踇⾚"/>
      <sheetName val="Уд__вес_(Росто깰ٚ踇⾚"/>
      <sheetName val="Уд__вес_(Росто①௎踇⼭"/>
      <sheetName val="Уд__вес_(Росто_x0010__x0000_訐ٸ"/>
      <sheetName val="Уд__вес_(Росто鬨˞踇⼜"/>
      <sheetName val="Уд__вес_(Росто_x0000__x0000_Ẩ_x0000_"/>
      <sheetName val="ст0_x0000_"/>
      <sheetName val="Уд__вес_(Росто_x0000__x0000_䐨_x0000_"/>
      <sheetName val="Уд__вес_(Росто_x0000__x0000_逸_x0000_"/>
      <sheetName val="Уд__вес_(Росто_x0000__x0000_Ḁ_x0000_"/>
      <sheetName val="Уд__вес_(Росто_x0013_⩿〚"/>
      <sheetName val="Уд__вес_(Росто湸'棸໬"/>
      <sheetName val="Уд__вес_(Росто  "/>
      <sheetName val="Уд__вес_(Росто_x0000__x0000_길_x0000_"/>
      <sheetName val="Уд__вес_(Росто_x0000__x0000_䰈_x0000_"/>
      <sheetName val="Уд__вес_(Росто_x0000__x0000_졐_x0000_"/>
      <sheetName val="Уд__вес_(Росто䡲ぬ_x0000__x0000_"/>
      <sheetName val="Уд__вес_(Росто橂】_x0005__x0000_"/>
      <sheetName val="ст退㩒"/>
      <sheetName val="ст頀㭖"/>
      <sheetName val="Уд__вес_(Росто_x0012_䩅〢"/>
      <sheetName val="_1_Расш3"/>
      <sheetName val="Уд__вес_(Росто_x0000__x0000_殘_x0000_"/>
      <sheetName val="Уд__вес_(Росто_x0010__x0000__xdbd0_֊"/>
      <sheetName val="Уд__вес_(Росто呠è虝む"/>
      <sheetName val="Уд__вес_(Росто_x0010__x0000_̐ર"/>
      <sheetName val="Уд__вес_(Росто_x0001__x0000_摠_x0000_"/>
      <sheetName val="Уд__вес_(Росто_x0010__x0000_৖"/>
      <sheetName val="Уд__вес_(Росто_x0010__x0000_啸ٽ"/>
      <sheetName val="Уд__вес_(Росто_x0010__x0000_㋘ۼ"/>
      <sheetName val="Уд__вес_(Росто_x0010__x0000_㰈ޛ"/>
      <sheetName val="Уд__вес_(Росто_x0010__x0000_偰ڣ"/>
      <sheetName val="Уд__вес_(Росто_x0000__x0000__x0000_"/>
      <sheetName val="Уд__вес_(Росто_x0000__x0000_㣸_x0000_"/>
      <sheetName val="Уд__вес_(Росто_x0000__x0000_䯐_x0000_"/>
      <sheetName val="Уд__вес_(Росто_x0000__x0000_둠_x0000_"/>
      <sheetName val="Уд__вес_(Росто_x0000__x0000_삨_x0000_"/>
      <sheetName val="Уд__вес_(Росто_x0000__x0000_껠_x0000_"/>
      <sheetName val="Уд__вес_(Росто_x0010__x0000_ꃠ¨"/>
      <sheetName val="Уд__вес_(Росто_x0010__x0000_¨"/>
      <sheetName val="Уд__вес_(Росто_x0010__x0000_裀ॷ"/>
      <sheetName val="Уд__вес_(Росто_x0010__x0000__xdab8_¦"/>
      <sheetName val="Уд__вес_(Росто_x0010__x0000_쵘¦"/>
      <sheetName val="Уд__вес_(Росто_x0010__x0000_鵘ڐ"/>
      <sheetName val="Уд__вес_(Росто_x0010__x0000_ꀀ৬"/>
      <sheetName val="Уд__вес_(Росто_x0000__x0000_ঠ_x0000_"/>
      <sheetName val="Уд__вес_(Росто_x0010__x0000_ᖰ౮"/>
      <sheetName val="Уд__вес_(Росто_x0010__x0000_֏"/>
      <sheetName val="Уд__вес_(Росто_x0000__x0000__x0000_"/>
      <sheetName val="Уд__вес_(Росто_x0010__x0000_毐ਬ"/>
      <sheetName val="Уд__вес_(Росто_x0000__x0000__x0000_"/>
      <sheetName val="Уд__вес_(Росто_x0001__x0000_胠_x0000_"/>
      <sheetName val="Уд__вес_(Росто_x0001__x0000_골_x0000_"/>
      <sheetName val="Уд__вес_(Росто_x0000__x0000_Հ_x0000_"/>
      <sheetName val="Уд__вес_(Росто壆る_x0001__x0000_"/>
      <sheetName val="Уд__вес_(Росто_x0000__x0000_샠_x0000_"/>
      <sheetName val="Уд__вес_(Росто_x0000__x0000_꾈_x0000_"/>
      <sheetName val="Уд__вес_(Росто_x0000__x0000_à_x0000_"/>
      <sheetName val="Уд__вес_(Росто_x0000__x0000__x0000_"/>
      <sheetName val="Уд__вес_(Росто_x0000__x0000_耸_x0000_"/>
      <sheetName val="Уд__вес_(Росто_x0000__x0000_편_x0000_"/>
      <sheetName val="Уд__вес_(Росто_x0000__x0000_ୠ_x0000_"/>
      <sheetName val="Уд__вес_(Росто_x0000__x0000_뙘_x0000_"/>
      <sheetName val="Уд__вес_(Росто_x0000__x0000_賨_x0000_"/>
      <sheetName val="Уд__вес_(Росто_x0000__x0000_荈_x0000_"/>
      <sheetName val="Уд__вес_(Росто_x0000__x0000_一_x0000_"/>
      <sheetName val="Уд__вес_(Росто_x0000__x0000_侈_x0000_"/>
      <sheetName val="Уд__вес_(Росто_x0000__x0000_픈_x0000_"/>
      <sheetName val="Уд__вес_(Росто_x0000__x0000_㐨_x0000_"/>
      <sheetName val="Уд__вес_(Росто猂め_x0005__x0000_"/>
      <sheetName val="Уд__вес_(Росто_x0001__x0000_ۈ_x0000_"/>
      <sheetName val="Уд__вес_(Росто_x0000__x0000_靰_x0000_"/>
      <sheetName val="Уд__вес_(Росто_x0000__x0000_辈_x0000_"/>
      <sheetName val="Уд__вес_(Росто_x0000__x0000_쪸_x0000_"/>
      <sheetName val="Уд__вес_(Росто_x0000__x0000_簈_x0000_"/>
      <sheetName val="Уд__вес_(Росто_x0000__x0000_棸_x0000_"/>
      <sheetName val="Уд__вес_(Росто_x0000__x0000_핸_x0000_"/>
      <sheetName val="Уд__вес_(Росто_x0000__x0000_洠_x0000_"/>
      <sheetName val="Уд__вес_(Росто_x0010__x0000_ቨঋ"/>
      <sheetName val="Уд__вес_(Росто_x0000__x0000_걀_x0000_"/>
      <sheetName val="Уд__вес_(Росто_x0000__x0000_릠_x0000_"/>
      <sheetName val="Уд__вес_(Росто_x0000__x0000__x0000_"/>
      <sheetName val="Уд__вес_(Росто_x0000__x0000_朸_x0000_"/>
      <sheetName val="Уд__вес_(Росто_x0000__x0000_襨_x0000_"/>
      <sheetName val="Уд__вес_(Росто_x0000__x0000_镸_x0000_"/>
      <sheetName val="Уд__вес_(Росто_x0000__x0000_ո_x0000_"/>
      <sheetName val="Уд__вес_(Росто_x0000__x0000_縸_x0000_"/>
      <sheetName val="Уд__вес_(Росто_x0000__x0000_皐_x0000_"/>
      <sheetName val="Уд__вес_(Росто_x0000__x0000__x0000_"/>
      <sheetName val="Уд__вес_(Росто_x0000__x0000_䒘_x0000_"/>
      <sheetName val="Уд__вес_(Росто様ड踇』"/>
      <sheetName val="Уд__вес_(Росто_x0000__x0000_窀_x0000_"/>
      <sheetName val="Уд__вес_(Росто_x0000__x0000_懀_x0000_"/>
      <sheetName val="Уд__вес_(Росто_x0000__x0000_激_x0000_"/>
      <sheetName val="ст옊識"/>
      <sheetName val="Уд__вес_(Росто帔る_x0000__x0000_"/>
      <sheetName val="стİ_x0000_"/>
      <sheetName val="Уд__вес_(Росто_x0000__x0000__x0000_"/>
      <sheetName val="Уд__вес_(Росто_x0000__x0000__x0000_"/>
      <sheetName val="Comp06"/>
      <sheetName val="Уд__вес_(Росто⩿〆_x0005__x0000_"/>
      <sheetName val="Уд__вес_(Росто蚘_x0013_޹〚"/>
      <sheetName val="Уд__вес_(Росто_x0010__x0000_潐ࣩ"/>
      <sheetName val="Уд__вес_(Росто_x0000__x0000__x0000_"/>
      <sheetName val="ст԰_x0000_"/>
      <sheetName val="Уд__вес_(Росто揄る_x0000__x0000_"/>
      <sheetName val="Уд__вес_(Росто踬_x001c_蹴_x001c_"/>
      <sheetName val="Уд__вес_(Росто׃】_x0001__x0000_"/>
      <sheetName val="Уд__вес_(Росто鲨_x0016_헾⼰"/>
      <sheetName val="Уд__вес_(Росто鬈_x001b_魌_x001b_"/>
      <sheetName val="Уд__вес_(Росто㲜瞩*"/>
      <sheetName val="ст였識"/>
      <sheetName val="Уд__вес_(Росто_x0000__x0000_㛈_x0000_"/>
      <sheetName val="ст옋識"/>
      <sheetName val="стᐌ譞"/>
      <sheetName val="Уд__вес_(Росто埸.徸⽢"/>
      <sheetName val="Уд__вес_(Росто瞒め_x0005__x0000_"/>
      <sheetName val="Уд__вес_(Росто_x0000__x0000_엨_x0000_"/>
      <sheetName val="Backup%20of%20BUDJ_02_00.xlk"/>
      <sheetName val="1,3 䠏ፓ쀀䅟爌"/>
      <sheetName val="Input"/>
      <sheetName val="УТТ-1"/>
      <sheetName val="Уд__вес_(Росто_x0000__x0000_⧘_x0000_"/>
      <sheetName val="Уд__вес_(Росто_x0000__x0000_Ǹ_x0000_"/>
      <sheetName val="Уд__вес_(Росто_x0010__x0000_ꤰ݌"/>
      <sheetName val="Уд__вес_(Росто_x0000__x0000_Ᏸ_x0000_"/>
      <sheetName val="Уд__вес_(Росто徸⼟_x0005__x0000_"/>
      <sheetName val="Уд__вес_(Росто_x0000__x0000_ﲰ_x0000_"/>
      <sheetName val="Уд__вес_(Росто׃⼩_x0000__x0000_"/>
      <sheetName val="Уд__вес_(Росто_x0010__x0000_ᨐԦ"/>
      <sheetName val="Уд__вес_(Росто_x0010__x0000_⮘঵"/>
      <sheetName val="Уд__вес_(Росто_x0000__x0000_忀_x0000_"/>
      <sheetName val="Уд__вес_(Росто_x0000__x0000_꽐_x0000_"/>
      <sheetName val="Уд__вес_(Росто_x0000__x0000_궐_x0000_"/>
      <sheetName val="Уд__вес_(Росто_x0000__x0000_退_x0000_"/>
      <sheetName val="Уд__вес_(Росто_x0000__x0000__xdea8__x0000_"/>
      <sheetName val="Уд__вес_(Росто_x0000__x0000_礰_x0000_"/>
      <sheetName val="Уд__вес_(Росто_x0000__x0000__x0000_"/>
      <sheetName val="Уд__вес_(Росто睮⿞_x0005__x0000_"/>
      <sheetName val="Уд__вес_(Росто_x0000__x0000_쮘_x0000_"/>
      <sheetName val="Уд__вес_(Росто_x0000__x0000__xde38__x0000_"/>
      <sheetName val="Уд__вес_(Росто_x0000__x0000_俀_x0000_"/>
      <sheetName val="Уд__вес_(Росто_x0000__x0000__x0000_"/>
      <sheetName val="Уд__вес_(Росто_x0000__x0000_缘_x0000_"/>
      <sheetName val="Уд__вес_(Росто_x0001__x0000_戰_x0000_"/>
      <sheetName val="Уд__вес_(Росто_x0000__x0000_籀_x0000_"/>
      <sheetName val="ст쌖ᄅ"/>
      <sheetName val="ст㔀቎"/>
      <sheetName val="Уд__вес_(Росто_x0000__x0000_킨_x0000_"/>
      <sheetName val="Уд__вес_(Росто_x0000__x0000_㿀_x0000_"/>
      <sheetName val="Уд__вес_(Росто_x0000__x0000_壸_x0000_"/>
      <sheetName val="ст쐏譣"/>
      <sheetName val="ст쐅譣"/>
      <sheetName val="ст쐊譣"/>
      <sheetName val="ст쌊ᄅ"/>
      <sheetName val="ст쌏ᄅ"/>
      <sheetName val="ст쌍ᄅ"/>
      <sheetName val="ст쌀ᄅ"/>
      <sheetName val="ст쌆ᄅ"/>
      <sheetName val="ст쌉ᄅ"/>
      <sheetName val="ст쌌ᄅ"/>
      <sheetName val="ст쌎ᄅ"/>
      <sheetName val="ст쌋ᄅ"/>
      <sheetName val="ст쌑ᄅ"/>
      <sheetName val="ст쌒ᄅ"/>
      <sheetName val="Уд__вес_(Росто_x0000__x0000_䣀_x0000_"/>
      <sheetName val="Уд__вес_(Росто_x0000__x0000_鬨_x0000_"/>
      <sheetName val="Уд__вес_(Росто_x0000__x0000_䠘_x0000_"/>
      <sheetName val="Уд__вес_(Росто袈৯䑲⽽"/>
      <sheetName val="Уд__вес_(Росто䑲々_x0000__x0000_"/>
      <sheetName val="Уд__вес_(Ростоꈰ)䑲⾐"/>
      <sheetName val="Уд__вес_(Росто_x0000__x0000_瑠_x0000_"/>
      <sheetName val="Уд__вес_(Росто_x0000__x0000_禠_x0000_"/>
      <sheetName val="Уд__вес_(Росто_x0000__x0000__x0000_"/>
      <sheetName val="Уд__вес_(Росто砘ઑ䑲⾣"/>
      <sheetName val="Уд__вес_(Росто⢈ॐ䑲⾐"/>
      <sheetName val="Уд__вес_(Росто_x0010__x0000_ꀸڕ"/>
      <sheetName val="Уд__вес_(Росто_x0000__x0000_멈_x0000_"/>
      <sheetName val="Уд__вес_(Росто午_x0013_褰᜖"/>
      <sheetName val="Уд__вес_(Росто_x0000__x0000__x0000_"/>
      <sheetName val="Уд__вес_(Росто午_x0013_뎸ឡ"/>
      <sheetName val="Уд__вес_(Росто_x0000__x0000_扨_x0000_"/>
      <sheetName val="Уд__вес_(Росто午_x0013_쎸࣒"/>
      <sheetName val="Уд__вес_(Росто午_x0013_ڳ"/>
      <sheetName val="Уд__вес_(Росто_x0000__x0000__x0000_"/>
      <sheetName val="Уд__вес_(Росто_x0000__x0000__x0000_"/>
      <sheetName val="Уд__вес_(Росто渘&amp;腐อ"/>
      <sheetName val="Уд__вес_(Росто_x0000__x0000_畀_x0000_"/>
      <sheetName val="Уд__вес_(Росто午_x0013_ڳ"/>
      <sheetName val="Уд__вес_(Росто_x0000__x0000_茐_x0000_"/>
      <sheetName val="Уд__вес_(Росто_x0000__x0000__x0000_"/>
      <sheetName val="Уд__вес_(Росто䑲【_x0000__x0000_"/>
      <sheetName val="Уд__вес_(Росто_x0000__x0000_Ⴈ_x0000_"/>
      <sheetName val="Уд__вес_(Росто_x0000__x0000__xdd90__x0000_"/>
      <sheetName val="Уд__вес_(Росто_x0000__x0000_釀_x0000_"/>
      <sheetName val="Уд__вес_(Росто_x0000__x0000_㓐_x0000_"/>
      <sheetName val="Уд__вес_(Росто_x0000__x0000_慐_x0000_"/>
      <sheetName val="Уд__вес_(Росто鈘,䒘෦"/>
      <sheetName val="Уд__вес_(Росто_x0000__x0000_뇸_x0000_"/>
      <sheetName val="Уд__вес_(Росто_x0000__x0000_뎸_x0000_"/>
      <sheetName val="Уд__вес_(Росто_x0000__x0000_뚐_x0000_"/>
      <sheetName val="Уд__вес_(Росто_x0000__x0000__x0000_"/>
      <sheetName val="Уд__вес_(Росто_x0000__x0000_붐_x0000_"/>
      <sheetName val="Уд__вес_(Росто_x0000__x0000__x0000_"/>
      <sheetName val="стꨀᄞ"/>
      <sheetName val="Уд__вес_(Росто_x0000__x0000__x0000_"/>
      <sheetName val="Уд__вес_(Росто_x0000__x0000_㡐_x0000_"/>
      <sheetName val="Уд__вес_(Росто_x0000__x0000_嚐_x0000_"/>
      <sheetName val="Уд__вес_(Росто_x0000__x0000_䕀_x0000_"/>
      <sheetName val="Уд__вес_(Росто_x0000__x0000_亨_x0000_"/>
      <sheetName val="ст頀ᎆ"/>
      <sheetName val="Уд__вес_(Росто礊め_x0005__x0000_"/>
      <sheetName val="Уд__вес_(Росто_x0000__x0000_鐨_x0000_"/>
      <sheetName val="Уд__вес_(Росто_x0010__x0000__x0013_"/>
      <sheetName val="Уд__вес_(Росто_x0000__x0000_弘_x0000_"/>
      <sheetName val="Уд__вес_(Росто_x0000__x0000_袈_x0000_"/>
      <sheetName val="Уд__вес_(Росто_x0000__x0000_̐_x0000_"/>
      <sheetName val="Уд__вес_(Росто䌸_x0013_츀§"/>
      <sheetName val="Уд__вес_(Росто_x0000__x0000_児_x0000_"/>
      <sheetName val="Уд__вес_(Росто_x0000__x0000_隐_x0000_"/>
      <sheetName val="Уд__вес_(Росто_x0000__x0000_咘_x0000_"/>
      <sheetName val="Уд__вес_(Росто_x0000__x0000_喰_x0000_"/>
      <sheetName val="Уд__вес_(Росто_x0000__x0000_풘_x0000_"/>
      <sheetName val="Уд__вес_(Росто_x0010__x0000_䳨ࣣ"/>
      <sheetName val="Уд__вес_(Росто_x0000__x0000_p_x0000_"/>
      <sheetName val="Уд__вес_(Росто_x0000__x0000_鑠_x0000_"/>
      <sheetName val="Уд__вес_(Росто_x0000__x0000_벰_x0000_"/>
      <sheetName val="Уд__вес_(Росто_x0000__x0000_㔈_x0000_"/>
      <sheetName val="Уд__вес_(Росто_x0000__x0000_淈_x0000_"/>
      <sheetName val="Уд__вес_(Росто_x0001__x0000_ᄘ_x0000_"/>
      <sheetName val="ст옇識"/>
      <sheetName val="ст쐓譣"/>
      <sheetName val="Уд__вес_(Росто_x0000__x0000_剨_x0000_"/>
      <sheetName val="Уд__вес_(Росто_x0000__x0000_룀_x0000_"/>
      <sheetName val="Уд__вес_(Росто_x0000__x0000__x0000_"/>
      <sheetName val="Уд__вес_(Росто_x0000__x0000_Ḹ_x0000_"/>
      <sheetName val="Уд__вес_(Росто_x0000__x0000_磀_x0000_"/>
      <sheetName val="Уд__вес_(Росто_x0000__x0000_뱸_x0000_"/>
      <sheetName val="Уд__вес_(Росто_x0000__x0000_睰_x0000_"/>
      <sheetName val="Уд__вес_(Росто_x0000__x0000__x0000_"/>
      <sheetName val="Уд__вес_(Росто_x0000__x0000_켘_x0000_"/>
      <sheetName val="Уд__вес_(Росто_x0000__x0000_㦠_x0000_"/>
      <sheetName val="Уд__вес_(Росто_x0000__x0000_媸_x0000_"/>
      <sheetName val="Уд__вес_(Росто_x0000__x0000__x0000_"/>
      <sheetName val="Уд__вес_(Росто_x0000__x0000_餰_x0000_"/>
      <sheetName val="Уд__вес_(Росто_x0000__x0000_硐_x0000_"/>
      <sheetName val="Уд__вес_(Росто_x0000__x0000__x0000_"/>
      <sheetName val="Уд__вес_(Росто_x0000__x0000_渀_x0000_"/>
      <sheetName val="Уд__вес_(Росто_x0000__x0000_葠_x0000_"/>
      <sheetName val="Уд__вес_(Росто_x0010__x0000_骸®"/>
      <sheetName val="Уд__вес_(Росто_x0010__x0000_꼘ૢ"/>
      <sheetName val="Уд__вес_(Росто_x0010__x0000_靰ሕ"/>
      <sheetName val="Уд__вес_(Росто_x0010__x0000_ถ"/>
      <sheetName val="Уд__вес_(Росто_x0010__x0000_圀ݚ"/>
      <sheetName val="Уд__вес_(Росто_x0010__x0000_官¥"/>
      <sheetName val="Уд__вес_(Росто_x0010__x0000_᪀ "/>
      <sheetName val="Уд__вес_(Росто_x0000__x0000_妠_x0000_"/>
      <sheetName val="Уд__вес_(Росто_x0000__x0000_垨_x0000_"/>
      <sheetName val="Уд__вес_(Росто_x0000__x0000_㜀_x0000_"/>
      <sheetName val="Уд__вес_(Росто_x0000__x0000__xdd20__x0000_"/>
      <sheetName val="Уд__вес_(Росто_x0000__x0000_쫰_x0000_"/>
      <sheetName val="Уд__вес_(Росто_x0000__x0000_㈰_x0000_"/>
      <sheetName val="Уд__вес_(Росто_x0000__x0000_椰_x0000_"/>
      <sheetName val="Уд__вес_(Росто_x0000__x0000__x0000_"/>
      <sheetName val="Уд__вес_(Росто_x0000__x0000_솈_x0000_"/>
      <sheetName val="Уд__вес_(Росто_x0000__x0000_癘_x0000_"/>
      <sheetName val="Уд__вес_(Росто_x0000__x0000_愘_x0000_"/>
      <sheetName val="Уд__вес_(Росто_x0000__x0000_怀_x0000_"/>
      <sheetName val="Уд__вес_(Росто_x0000__x0000_뿀_x0000_"/>
      <sheetName val="Уд__вес_(Росто_x0000__x0000_뷈_x0000_"/>
      <sheetName val="Уд__вес_(Росто_x0000__x0000_揰_x0000_"/>
      <sheetName val="Уд__вес_(Росто_x0000__x0000_韠_x0000_"/>
      <sheetName val="Уд__вес_(Росто揄る_x0001__x0000_"/>
      <sheetName val="Уд__вес_(Росто_x0000__x0000_侈ື"/>
      <sheetName val="Уд__вес_(Росто_x0000__x0000_쒘_x0000_"/>
      <sheetName val="Уд__вес_(Росто_x0000__x0000__xdce8__x0000_"/>
      <sheetName val="Уд__вес_(Росто牨߿䑲⽊"/>
      <sheetName val="Уд__вес_(Росто_x0010__x0000_票ڛ"/>
      <sheetName val="Уд__вес_(Росто_x0010__x0000_큰ԗ"/>
      <sheetName val="Уд__вес_(Росто_x0010__x0000_惠_x0015_"/>
      <sheetName val="Уд__вес_(Росто烀;鼘̈́"/>
      <sheetName val="Уд__вес_(Росто_x0000__x0000__xddc8__x0000_"/>
      <sheetName val="Уд__вес_(Росто_x0000__x0000_䕸_x0000_"/>
      <sheetName val="Уд__вес_(Росто_x0010__x0000_׽"/>
      <sheetName val="Уд__вес_(Росто_x0010__x0000_怀ૹ"/>
      <sheetName val="Уд__вес_(Росто䑲⾃_x0001__x0000_"/>
      <sheetName val="Уд__вес_(Росто_x0001__x0000__xdc40__x0000_"/>
      <sheetName val="Уд__вес_(Росто籀ෛ䑲⿅"/>
      <sheetName val="Уд__вес_(Росто_x0000__x0000__x0000_"/>
      <sheetName val="Уд__вес_(Росто_x0000__x0000__x0000_"/>
      <sheetName val="Уд__вес_(Росто\䑲⽠"/>
      <sheetName val="Уд__вес_(Росто䜸፭䑲⽠"/>
      <sheetName val="Уд__вес_(Росто_x0000__x0000_铐_x0000_"/>
      <sheetName val="Уд__вес_(Росто䑲【_x0001__x0000_"/>
      <sheetName val="Уд__вес_(Росто潘)ｐϋ"/>
      <sheetName val="Уд__вес_(Росто덈ɂ䡲⿶"/>
      <sheetName val="Уд__вес_(Росто_x0000__x0000__x0000_"/>
      <sheetName val="Уд__вес_(Росто_x0000__x0000_８_x0000_"/>
      <sheetName val="Уд__вес_(Росто_x0000__x0000_镀_x0000_"/>
      <sheetName val="Уд__вес_(Росто⸸ڀ׃⾪"/>
      <sheetName val="Уд__вес_(Росто_x0010__x0000_⿀ڀ"/>
      <sheetName val="Уд__вес_(Росто隐ۛ׃⾪"/>
      <sheetName val="Уд__вес_(Росто읰ڨ׃⾪"/>
      <sheetName val="Уд__вес_(Ростоڨ踇』"/>
      <sheetName val="Уд__вес_(Росто⺨֯踇』"/>
      <sheetName val="Уд__вес_(Росто瀀ਮ踇』"/>
      <sheetName val="Уд__вес_(Росто_x0010__x0000_䃠˥"/>
      <sheetName val="Уд__вес_(Росто_x0010__x0000_蜸ਸ਼"/>
      <sheetName val="Уд__вес_(Росто_x0010__x0000__xda10_Ƥ"/>
      <sheetName val="Уд__вес_(Росто躨ۿ׃⾪"/>
      <sheetName val="ст਀腹"/>
      <sheetName val="Уд__вес_(Росто_x0000__x0000_ﻠ_x0000_"/>
      <sheetName val="Уд__вес_(Росто_x0000__x0000_⊠_x0000_"/>
      <sheetName val="Уд__вес_(Росто_x0000__x0000_飀_x0000_"/>
      <sheetName val="Уд__вес_(Росто_x0000__x0000_艨_x0000_"/>
      <sheetName val="Уд__вес_(Росто戨_x0013_啀૬"/>
      <sheetName val="ст/_x0000_"/>
      <sheetName val="Уд__вес_(Росто_x0000__x0000_映_x0000_"/>
      <sheetName val="Уд__вес_(Росто_x0000__x0000_ƈ_x0000_"/>
      <sheetName val="ст렀቟"/>
      <sheetName val="ст䈀ᅪ"/>
      <sheetName val="Уд__вес_(Росто窨_x0013_竬_x0013_"/>
      <sheetName val="Уд__вес_(Росто_x0000__x0000_흰_x0000_"/>
      <sheetName val="Уд__вес_(Росто_x0010__x0000_颈෎"/>
      <sheetName val="Уд__вес_(Росто_x0010__x0000_灰ภ"/>
      <sheetName val="Уд__вес_(Росто钸'买ǎ"/>
      <sheetName val="Уд__вес_(Росто_x0000__x0000_鎀_x0000_"/>
      <sheetName val="Уд__вес_(Росто_x0000__x0000_㟠_x0000_"/>
      <sheetName val="Уд__вес_(Росто戨_x0013_瀀୊"/>
      <sheetName val="Уд__вес_(Росто_x0000__x0000_擄_x0000_"/>
      <sheetName val="Уд__вес_(Росто_x0000__x0000__x0000_"/>
      <sheetName val="Уд__вес_(Росто_x0000__x0000__xdbd0__x0000_"/>
      <sheetName val="Уд__вес_(Росто_x0000__x0000_䀸_x0000_"/>
      <sheetName val="Уд__вес_(Росто_x0000__x0000_偰_x0000_"/>
      <sheetName val="Уд__вес_(Росто毈-嫰৙"/>
      <sheetName val="Уд__вес_(Росто汈!ｐଡ଼"/>
      <sheetName val="Уд__вес_(Росто_x0000__x0000__xdf18__x0000_"/>
      <sheetName val="Уд__вес_(Росто_x0000__x0000_瞨_x0000_"/>
      <sheetName val="Уд__вес_(Росто_x0000__x0000_땀_x0000_"/>
      <sheetName val="Уд__вес_(РостоtaSp"/>
      <sheetName val="Уд__вес_(Росто壆の_x0000__x0000_"/>
      <sheetName val="Уд__вес_(Росто쨐ב䑲⾿"/>
      <sheetName val="Уд__вес_(Росто_x0000__x0000_놈_x0000_"/>
      <sheetName val="Уд__вес_(Росто_x0000__x0000_譠_x0000_"/>
      <sheetName val="Уд__вес_(Росто_xdc08_ɾ䑲⽐"/>
      <sheetName val="Уд__вес_(Росто_x0010__x0000_䃠ࣹ"/>
      <sheetName val="Уд__вес_(Росто_x0000__x0000_䳨_x0000_"/>
      <sheetName val="Уд__вес_(Росто_x0000__x0000_핀_x0000_"/>
      <sheetName val="Уд__вес_(Росто_x0000__x0000_좈_x0000_"/>
      <sheetName val="Уд__вес_(Ростоꐨغ䑲⽠"/>
      <sheetName val="Уд__вес_(Росто_x0000__x0000_㳨_x0000_"/>
      <sheetName val="Уд__вес_(Росто_x0000__x0000_詈_x0000_"/>
      <sheetName val="Уд__вес_(Росто_x0000__x0000_鈰଀"/>
      <sheetName val="Уд__вес_(Росто_x0000__x0000_栘୿"/>
      <sheetName val="Уд__вес_(Росто_x0000__x0000_㌐ஐ"/>
      <sheetName val="Уд__вес_(Росто_x0000__x0000_굘_x0000_"/>
      <sheetName val="Уд__вес_(Росто_x0000__x0000_邨_x0000_"/>
      <sheetName val="Уд__вес_(Росто_x0010__x0000_ీڳ"/>
      <sheetName val="Уд__вес_(Росто_x0010__x0000_֚"/>
      <sheetName val="Уд__вес_(Росто_x0000__x0000_뵘_x0000_"/>
      <sheetName val="Уд__вес_(Росто_x0000__x0000_軠_x0000_"/>
      <sheetName val="Уд__вес_(Росто揄⾣_x0000__x0000_"/>
      <sheetName val="Уд__вес_(Росто刨&lt;溨ᚮ"/>
      <sheetName val="Уд__вес_(Росто_x0000__x0000_鸀_x0000_"/>
      <sheetName val="Уд__вес_(Росто_x0010__x0000_ퟠऑ"/>
      <sheetName val="Уд__вес_(Росто_x0010__x0000_骀ࠗ"/>
      <sheetName val="Уд__вес_(Росто_x0010__x0000_펀ধ"/>
      <sheetName val="Уд__вес_(Росто戰᣺踇』"/>
      <sheetName val="ст쐍譣"/>
      <sheetName val="ст쐀譣"/>
      <sheetName val="1,3 爋譈0_x0000_頀"/>
      <sheetName val="1,3 ⠈⢗᠀뛈쐅"/>
      <sheetName val="ст쐈譣"/>
      <sheetName val="Уд__вес_(Росто_x0000__x0000_뮘_x0000_"/>
      <sheetName val="Уд__вес_(Росто_x0000__x0000_霸_x0000_"/>
      <sheetName val="ст쐃酣"/>
      <sheetName val="ст쐉譣"/>
      <sheetName val="Ñëóæáà òðàíñï_______·___"/>
      <sheetName val="стрృ___᠀_㜬_x0006__樀ᏠЀ"/>
      <sheetName val="__руктур____________) ____"/>
      <sheetName val="ст怀⭕"/>
      <sheetName val="Уд__вес_(Росто_x0000__x0000_寐_x0000_"/>
      <sheetName val="ст쌙ᄅ"/>
      <sheetName val="ст쌕ᄅ"/>
      <sheetName val="Уд__вес_(Росто_x0000__x0000_ᄘ_x0000_"/>
      <sheetName val="ст렀뽟"/>
    </sheetNames>
    <definedNames>
      <definedName name="GetSANDValue" refersTo="#ССЫЛКА!"/>
      <definedName name="GetVal" refersTo="#ССЫЛКА!"/>
      <definedName name="PutHeader" refersTo="#ССЫЛКА!" sheetId="5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9">
          <cell r="D19" t="str">
            <v>февраль 2000 года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/>
      <sheetData sheetId="79">
        <row r="19">
          <cell r="B19" t="str">
            <v>сжатый воздух</v>
          </cell>
        </row>
      </sheetData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/>
      <sheetData sheetId="830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Баланс"/>
      <sheetName val="Агр баланс"/>
      <sheetName val="Баланс 2"/>
      <sheetName val="Агр баланс 2"/>
      <sheetName val="Об активы"/>
      <sheetName val="Кратк обяз"/>
      <sheetName val="Движ ДС"/>
      <sheetName val="Прибыль"/>
      <sheetName val="Показатели"/>
      <sheetName val="Цикл"/>
      <sheetName val="Осн показ"/>
    </sheetNames>
    <sheetDataSet>
      <sheetData sheetId="0" refreshError="1">
        <row r="5">
          <cell r="A5" t="str">
            <v>ОАО Котласский ЦБК</v>
          </cell>
        </row>
        <row r="13">
          <cell r="B13">
            <v>90</v>
          </cell>
        </row>
      </sheetData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рректировки"/>
      <sheetName val="Аналоги-1"/>
      <sheetName val="Расчет-1"/>
      <sheetName val="Аналоги-2К"/>
      <sheetName val="Расчет-2К"/>
      <sheetName val="Аналоги-2"/>
      <sheetName val="Расчет-2"/>
      <sheetName val="Аналоги-3"/>
      <sheetName val="Расчет-3"/>
      <sheetName val="Степень-рынок"/>
      <sheetName val="отделка"/>
      <sheetName val="Analitics_Values"/>
      <sheetName val="Info-report"/>
      <sheetName val="СВОД"/>
      <sheetName val="Дом-4Ш(88из102)"/>
      <sheetName val="Дом-3K(все120)"/>
      <sheetName val="Дом-4K(все80)"/>
      <sheetName val="Дом-5K(все140)"/>
      <sheetName val="Дом-6K(все80)"/>
      <sheetName val="corr"/>
      <sheetName val="4Ш_ДДУ"/>
      <sheetName val="3К_ДДУ"/>
      <sheetName val="4К_ДДУ"/>
      <sheetName val="5К_ДДУ"/>
      <sheetName val="6К_ДДУ"/>
      <sheetName val="Ко-Инвест"/>
      <sheetName val="все"/>
      <sheetName val="Лист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">
          <cell r="F3">
            <v>-0.94479999999999997</v>
          </cell>
        </row>
        <row r="4">
          <cell r="F4">
            <v>-0.4299</v>
          </cell>
        </row>
        <row r="5">
          <cell r="F5">
            <v>-0.24940000000000001</v>
          </cell>
        </row>
        <row r="8">
          <cell r="D8">
            <v>47718</v>
          </cell>
        </row>
        <row r="9">
          <cell r="D9">
            <v>47263</v>
          </cell>
        </row>
        <row r="10">
          <cell r="D10">
            <v>47033</v>
          </cell>
        </row>
        <row r="11">
          <cell r="D11">
            <v>42979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_данные"/>
      <sheetName val="Инженерка"/>
      <sheetName val="Ст-ть здания"/>
      <sheetName val="Аналоги"/>
      <sheetName val="Аренда земли"/>
      <sheetName val="ДВД"/>
      <sheetName val="ЧОД!!!"/>
      <sheetName val="Коэф. капит."/>
      <sheetName val="Итоги"/>
      <sheetName val="Кадастр"/>
      <sheetName val="Служебный"/>
    </sheetNames>
    <sheetDataSet>
      <sheetData sheetId="0">
        <row r="14">
          <cell r="B14">
            <v>31.118400000000001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4">
          <cell r="B4" t="str">
            <v>77:01:0001001</v>
          </cell>
        </row>
        <row r="5">
          <cell r="B5" t="str">
            <v>77:01:0001002</v>
          </cell>
        </row>
        <row r="6">
          <cell r="B6" t="str">
            <v>77:01:0001003</v>
          </cell>
        </row>
        <row r="7">
          <cell r="B7" t="str">
            <v>77:01:0001004</v>
          </cell>
        </row>
        <row r="8">
          <cell r="B8" t="str">
            <v>77:01:0001005</v>
          </cell>
        </row>
        <row r="9">
          <cell r="B9" t="str">
            <v>77:01:0001006</v>
          </cell>
        </row>
        <row r="10">
          <cell r="B10" t="str">
            <v>77:01:0001007</v>
          </cell>
        </row>
        <row r="11">
          <cell r="B11" t="str">
            <v>77:01:0001008</v>
          </cell>
        </row>
        <row r="12">
          <cell r="B12" t="str">
            <v>77:01:0001009</v>
          </cell>
        </row>
        <row r="13">
          <cell r="B13" t="str">
            <v>77:01:0001010</v>
          </cell>
        </row>
        <row r="14">
          <cell r="B14" t="str">
            <v>77:01:0001011</v>
          </cell>
        </row>
        <row r="15">
          <cell r="B15" t="str">
            <v>77:01:0001012</v>
          </cell>
        </row>
        <row r="16">
          <cell r="B16" t="str">
            <v>77:01:0001013</v>
          </cell>
        </row>
        <row r="17">
          <cell r="B17" t="str">
            <v>77:01:0001014</v>
          </cell>
        </row>
        <row r="18">
          <cell r="B18" t="str">
            <v>77:01:0001015</v>
          </cell>
        </row>
        <row r="19">
          <cell r="B19" t="str">
            <v>77:01:0001016</v>
          </cell>
        </row>
        <row r="20">
          <cell r="B20" t="str">
            <v>77:01:0001017</v>
          </cell>
        </row>
        <row r="21">
          <cell r="B21" t="str">
            <v>77:01:0001018</v>
          </cell>
        </row>
        <row r="22">
          <cell r="B22" t="str">
            <v>77:01:0001019</v>
          </cell>
        </row>
        <row r="23">
          <cell r="B23" t="str">
            <v>77:01:0001020</v>
          </cell>
        </row>
        <row r="24">
          <cell r="B24" t="str">
            <v>77:01:0001021</v>
          </cell>
        </row>
        <row r="25">
          <cell r="B25" t="str">
            <v>77:01:0001022</v>
          </cell>
        </row>
        <row r="26">
          <cell r="B26" t="str">
            <v>77:01:0001023</v>
          </cell>
        </row>
        <row r="27">
          <cell r="B27" t="str">
            <v>77:01:0001024</v>
          </cell>
        </row>
        <row r="28">
          <cell r="B28" t="str">
            <v>77:01:0001025</v>
          </cell>
        </row>
        <row r="29">
          <cell r="B29" t="str">
            <v>77:01:0001026</v>
          </cell>
        </row>
        <row r="30">
          <cell r="B30" t="str">
            <v>77:01:0001027</v>
          </cell>
        </row>
        <row r="31">
          <cell r="B31" t="str">
            <v>77:01:0001028</v>
          </cell>
        </row>
        <row r="32">
          <cell r="B32" t="str">
            <v>77:01:0001029</v>
          </cell>
        </row>
        <row r="33">
          <cell r="B33" t="str">
            <v>77:01:0001030</v>
          </cell>
        </row>
        <row r="34">
          <cell r="B34" t="str">
            <v>77:01:0001031</v>
          </cell>
        </row>
        <row r="35">
          <cell r="B35" t="str">
            <v>77:01:0001032</v>
          </cell>
        </row>
        <row r="36">
          <cell r="B36" t="str">
            <v>77:01:0001033</v>
          </cell>
        </row>
        <row r="37">
          <cell r="B37" t="str">
            <v>77:01:0001034</v>
          </cell>
        </row>
        <row r="38">
          <cell r="B38" t="str">
            <v>77:01:0001035</v>
          </cell>
        </row>
        <row r="39">
          <cell r="B39" t="str">
            <v>77:01:0001036</v>
          </cell>
        </row>
        <row r="40">
          <cell r="B40" t="str">
            <v>77:01:0001037</v>
          </cell>
        </row>
        <row r="41">
          <cell r="B41" t="str">
            <v>77:01:0001038</v>
          </cell>
        </row>
        <row r="42">
          <cell r="B42" t="str">
            <v>77:01:0001039</v>
          </cell>
        </row>
        <row r="43">
          <cell r="B43" t="str">
            <v>77:01:0001040</v>
          </cell>
        </row>
        <row r="44">
          <cell r="B44" t="str">
            <v>77:01:0001041</v>
          </cell>
        </row>
        <row r="45">
          <cell r="B45" t="str">
            <v>77:01:0001042</v>
          </cell>
        </row>
        <row r="46">
          <cell r="B46" t="str">
            <v>77:01:0001043</v>
          </cell>
        </row>
        <row r="47">
          <cell r="B47" t="str">
            <v>77:01:0001044</v>
          </cell>
        </row>
        <row r="48">
          <cell r="B48" t="str">
            <v>77:01:0001045</v>
          </cell>
        </row>
        <row r="49">
          <cell r="B49" t="str">
            <v>77:01:0001046</v>
          </cell>
        </row>
        <row r="50">
          <cell r="B50" t="str">
            <v>77:01:0001047</v>
          </cell>
        </row>
        <row r="51">
          <cell r="B51" t="str">
            <v>77:01:0001048</v>
          </cell>
        </row>
        <row r="52">
          <cell r="B52" t="str">
            <v>77:01:0001049</v>
          </cell>
        </row>
        <row r="53">
          <cell r="B53" t="str">
            <v>77:01:0001050</v>
          </cell>
        </row>
        <row r="54">
          <cell r="B54" t="str">
            <v>77:01:0001051</v>
          </cell>
        </row>
        <row r="55">
          <cell r="B55" t="str">
            <v>77:01:0001052</v>
          </cell>
        </row>
        <row r="56">
          <cell r="B56" t="str">
            <v>77:01:0001053</v>
          </cell>
        </row>
        <row r="57">
          <cell r="B57" t="str">
            <v>77:01:0001054</v>
          </cell>
        </row>
        <row r="58">
          <cell r="B58" t="str">
            <v>77:01:0001055</v>
          </cell>
        </row>
        <row r="59">
          <cell r="B59" t="str">
            <v>77:01:0001056</v>
          </cell>
        </row>
        <row r="60">
          <cell r="B60" t="str">
            <v>77:01:0001057</v>
          </cell>
        </row>
        <row r="61">
          <cell r="B61" t="str">
            <v>77:01:0001058</v>
          </cell>
        </row>
        <row r="62">
          <cell r="B62" t="str">
            <v>77:01:0001059</v>
          </cell>
        </row>
        <row r="63">
          <cell r="B63" t="str">
            <v>77:01:0001060</v>
          </cell>
        </row>
        <row r="64">
          <cell r="B64" t="str">
            <v>77:01:0001061</v>
          </cell>
        </row>
        <row r="65">
          <cell r="B65" t="str">
            <v>77:01:0001062</v>
          </cell>
        </row>
        <row r="66">
          <cell r="B66" t="str">
            <v>77:01:0001063</v>
          </cell>
        </row>
        <row r="67">
          <cell r="B67" t="str">
            <v>77:01:0001064</v>
          </cell>
        </row>
        <row r="68">
          <cell r="B68" t="str">
            <v>77:01:0001065</v>
          </cell>
        </row>
        <row r="69">
          <cell r="B69" t="str">
            <v>77:01:0001066</v>
          </cell>
        </row>
        <row r="70">
          <cell r="B70" t="str">
            <v>77:01:0001067</v>
          </cell>
        </row>
        <row r="71">
          <cell r="B71" t="str">
            <v>77:01:0001068</v>
          </cell>
        </row>
        <row r="72">
          <cell r="B72" t="str">
            <v>77:01:0001069</v>
          </cell>
        </row>
        <row r="73">
          <cell r="B73" t="str">
            <v>77:01:0001070</v>
          </cell>
        </row>
        <row r="74">
          <cell r="B74" t="str">
            <v>77:01:0001071</v>
          </cell>
        </row>
        <row r="75">
          <cell r="B75" t="str">
            <v>77:01:0001072</v>
          </cell>
        </row>
        <row r="76">
          <cell r="B76" t="str">
            <v>77:01:0001073</v>
          </cell>
        </row>
        <row r="77">
          <cell r="B77" t="str">
            <v>77:01:0001074</v>
          </cell>
        </row>
        <row r="78">
          <cell r="B78" t="str">
            <v>77:01:0001075</v>
          </cell>
        </row>
        <row r="79">
          <cell r="B79" t="str">
            <v>77:01:0001076</v>
          </cell>
        </row>
        <row r="80">
          <cell r="B80" t="str">
            <v>77:01:0001077</v>
          </cell>
        </row>
        <row r="81">
          <cell r="B81" t="str">
            <v>77:01:0001078</v>
          </cell>
        </row>
        <row r="82">
          <cell r="B82" t="str">
            <v>77:01:0001079</v>
          </cell>
        </row>
        <row r="83">
          <cell r="B83" t="str">
            <v>77:01:0001080</v>
          </cell>
        </row>
        <row r="84">
          <cell r="B84" t="str">
            <v>77:01:0001081</v>
          </cell>
        </row>
        <row r="85">
          <cell r="B85" t="str">
            <v>77:01:0001082</v>
          </cell>
        </row>
        <row r="86">
          <cell r="B86" t="str">
            <v>77:01:0001083</v>
          </cell>
        </row>
        <row r="87">
          <cell r="B87" t="str">
            <v>77:01:0001084</v>
          </cell>
        </row>
        <row r="88">
          <cell r="B88" t="str">
            <v>77:01:0001085</v>
          </cell>
        </row>
        <row r="89">
          <cell r="B89" t="str">
            <v>77:01:0001086</v>
          </cell>
        </row>
        <row r="90">
          <cell r="B90" t="str">
            <v>77:01:0001087</v>
          </cell>
        </row>
        <row r="91">
          <cell r="B91" t="str">
            <v>77:01:0001088</v>
          </cell>
        </row>
        <row r="92">
          <cell r="B92" t="str">
            <v>77:01:0001089</v>
          </cell>
        </row>
        <row r="93">
          <cell r="B93" t="str">
            <v>77:01:0001090</v>
          </cell>
        </row>
        <row r="94">
          <cell r="B94" t="str">
            <v>77:01:0001091</v>
          </cell>
        </row>
        <row r="95">
          <cell r="B95" t="str">
            <v>77:01:0001092</v>
          </cell>
        </row>
        <row r="96">
          <cell r="B96" t="str">
            <v>77:01:0001093</v>
          </cell>
        </row>
        <row r="97">
          <cell r="B97" t="str">
            <v>77:01:0001094</v>
          </cell>
        </row>
        <row r="98">
          <cell r="B98" t="str">
            <v>77:01:0001095</v>
          </cell>
        </row>
        <row r="99">
          <cell r="B99" t="str">
            <v>77:01:0001096</v>
          </cell>
        </row>
        <row r="100">
          <cell r="B100" t="str">
            <v>77:01:0001097</v>
          </cell>
        </row>
        <row r="101">
          <cell r="B101" t="str">
            <v>77:01:0001098</v>
          </cell>
        </row>
        <row r="102">
          <cell r="B102" t="str">
            <v>77:01:0001099</v>
          </cell>
        </row>
        <row r="103">
          <cell r="B103" t="str">
            <v>77:01:0001100</v>
          </cell>
        </row>
        <row r="104">
          <cell r="B104" t="str">
            <v>77:01:0001101</v>
          </cell>
        </row>
        <row r="105">
          <cell r="B105" t="str">
            <v>77:01:0001102</v>
          </cell>
        </row>
        <row r="106">
          <cell r="B106" t="str">
            <v>77:01:0001103</v>
          </cell>
        </row>
        <row r="107">
          <cell r="B107" t="str">
            <v>77:01:0001104</v>
          </cell>
        </row>
        <row r="108">
          <cell r="B108" t="str">
            <v>77:01:0002001</v>
          </cell>
        </row>
        <row r="109">
          <cell r="B109" t="str">
            <v>77:01:0002002</v>
          </cell>
        </row>
        <row r="110">
          <cell r="B110" t="str">
            <v>77:01:0002003</v>
          </cell>
        </row>
        <row r="111">
          <cell r="B111" t="str">
            <v>77:01:0002004</v>
          </cell>
        </row>
        <row r="112">
          <cell r="B112" t="str">
            <v>77:01:0002005</v>
          </cell>
        </row>
        <row r="113">
          <cell r="B113" t="str">
            <v>77:01:0002006</v>
          </cell>
        </row>
        <row r="114">
          <cell r="B114" t="str">
            <v>77:01:0002007</v>
          </cell>
        </row>
        <row r="115">
          <cell r="B115" t="str">
            <v>77:01:0002008</v>
          </cell>
        </row>
        <row r="116">
          <cell r="B116" t="str">
            <v>77:01:0002009</v>
          </cell>
        </row>
        <row r="117">
          <cell r="B117" t="str">
            <v>77:01:0002010</v>
          </cell>
        </row>
        <row r="118">
          <cell r="B118" t="str">
            <v>77:01:0002011</v>
          </cell>
        </row>
        <row r="119">
          <cell r="B119" t="str">
            <v>77:01:0002012</v>
          </cell>
        </row>
        <row r="120">
          <cell r="B120" t="str">
            <v>77:01:0002013</v>
          </cell>
        </row>
        <row r="121">
          <cell r="B121" t="str">
            <v>77:01:0002014</v>
          </cell>
        </row>
        <row r="122">
          <cell r="B122" t="str">
            <v>77:01:0002015</v>
          </cell>
        </row>
        <row r="123">
          <cell r="B123" t="str">
            <v>77:01:0002016</v>
          </cell>
        </row>
        <row r="124">
          <cell r="B124" t="str">
            <v>77:01:0002017</v>
          </cell>
        </row>
        <row r="125">
          <cell r="B125" t="str">
            <v>77:01:0002018</v>
          </cell>
        </row>
        <row r="126">
          <cell r="B126" t="str">
            <v>77:01:0002019</v>
          </cell>
        </row>
        <row r="127">
          <cell r="B127" t="str">
            <v>77:01:0002020</v>
          </cell>
        </row>
        <row r="128">
          <cell r="B128" t="str">
            <v>77:01:0002021</v>
          </cell>
        </row>
        <row r="129">
          <cell r="B129" t="str">
            <v>77:01:0002022</v>
          </cell>
        </row>
        <row r="130">
          <cell r="B130" t="str">
            <v>77:01:0002023</v>
          </cell>
        </row>
        <row r="131">
          <cell r="B131" t="str">
            <v>77:01:0002024</v>
          </cell>
        </row>
        <row r="132">
          <cell r="B132" t="str">
            <v>77:01:0002025</v>
          </cell>
        </row>
        <row r="133">
          <cell r="B133" t="str">
            <v>77:01:0002026</v>
          </cell>
        </row>
        <row r="134">
          <cell r="B134" t="str">
            <v>77:01:0002027</v>
          </cell>
        </row>
        <row r="135">
          <cell r="B135" t="str">
            <v>77:01:0002028</v>
          </cell>
        </row>
        <row r="136">
          <cell r="B136" t="str">
            <v>77:01:0003001</v>
          </cell>
        </row>
        <row r="137">
          <cell r="B137" t="str">
            <v>77:01:0003002</v>
          </cell>
        </row>
        <row r="138">
          <cell r="B138" t="str">
            <v>77:01:0003003</v>
          </cell>
        </row>
        <row r="139">
          <cell r="B139" t="str">
            <v>77:01:0003004</v>
          </cell>
        </row>
        <row r="140">
          <cell r="B140" t="str">
            <v>77:01:0003005</v>
          </cell>
        </row>
        <row r="141">
          <cell r="B141" t="str">
            <v>77:01:0003006</v>
          </cell>
        </row>
        <row r="142">
          <cell r="B142" t="str">
            <v>77:01:0003007</v>
          </cell>
        </row>
        <row r="143">
          <cell r="B143" t="str">
            <v>77:01:0003008</v>
          </cell>
        </row>
        <row r="144">
          <cell r="B144" t="str">
            <v>77:01:0003009</v>
          </cell>
        </row>
        <row r="145">
          <cell r="B145" t="str">
            <v>77:01:0003010</v>
          </cell>
        </row>
        <row r="146">
          <cell r="B146" t="str">
            <v>77:01:0003011</v>
          </cell>
        </row>
        <row r="147">
          <cell r="B147" t="str">
            <v>77:01:0003012</v>
          </cell>
        </row>
        <row r="148">
          <cell r="B148" t="str">
            <v>77:01:0003013</v>
          </cell>
        </row>
        <row r="149">
          <cell r="B149" t="str">
            <v>77:01:0003014</v>
          </cell>
        </row>
        <row r="150">
          <cell r="B150" t="str">
            <v>77:01:0003015</v>
          </cell>
        </row>
        <row r="151">
          <cell r="B151" t="str">
            <v>77:01:0003016</v>
          </cell>
        </row>
        <row r="152">
          <cell r="B152" t="str">
            <v>77:01:0003017</v>
          </cell>
        </row>
        <row r="153">
          <cell r="B153" t="str">
            <v>77:01:0003018</v>
          </cell>
        </row>
        <row r="154">
          <cell r="B154" t="str">
            <v>77:01:0003019</v>
          </cell>
        </row>
        <row r="155">
          <cell r="B155" t="str">
            <v>77:01:0003020</v>
          </cell>
        </row>
        <row r="156">
          <cell r="B156" t="str">
            <v>77:01:0003021</v>
          </cell>
        </row>
        <row r="157">
          <cell r="B157" t="str">
            <v>77:01:0003022</v>
          </cell>
        </row>
        <row r="158">
          <cell r="B158" t="str">
            <v>77:01:0003023</v>
          </cell>
        </row>
        <row r="159">
          <cell r="B159" t="str">
            <v>77:01:0003024</v>
          </cell>
        </row>
        <row r="160">
          <cell r="B160" t="str">
            <v>77:01:0003025</v>
          </cell>
        </row>
        <row r="161">
          <cell r="B161" t="str">
            <v>77:01:0003026</v>
          </cell>
        </row>
        <row r="162">
          <cell r="B162" t="str">
            <v>77:01:0003027</v>
          </cell>
        </row>
        <row r="163">
          <cell r="B163" t="str">
            <v>77:01:0003028</v>
          </cell>
        </row>
        <row r="164">
          <cell r="B164" t="str">
            <v>77:01:0003029</v>
          </cell>
        </row>
        <row r="165">
          <cell r="B165" t="str">
            <v>77:01:0003030</v>
          </cell>
        </row>
        <row r="166">
          <cell r="B166" t="str">
            <v>77:01:0003031</v>
          </cell>
        </row>
        <row r="167">
          <cell r="B167" t="str">
            <v>77:01:0003032</v>
          </cell>
        </row>
        <row r="168">
          <cell r="B168" t="str">
            <v>77:01:0003033</v>
          </cell>
        </row>
        <row r="169">
          <cell r="B169" t="str">
            <v>77:01:0003034</v>
          </cell>
        </row>
        <row r="170">
          <cell r="B170" t="str">
            <v>77:01:0003035</v>
          </cell>
        </row>
        <row r="171">
          <cell r="B171" t="str">
            <v>77:01:0003036</v>
          </cell>
        </row>
        <row r="172">
          <cell r="B172" t="str">
            <v>77:01:0003037</v>
          </cell>
        </row>
        <row r="173">
          <cell r="B173" t="str">
            <v>77:01:0003038</v>
          </cell>
        </row>
        <row r="174">
          <cell r="B174" t="str">
            <v>77:01:0003039</v>
          </cell>
        </row>
        <row r="175">
          <cell r="B175" t="str">
            <v>77:01:0003040</v>
          </cell>
        </row>
        <row r="176">
          <cell r="B176" t="str">
            <v>77:01:0003041</v>
          </cell>
        </row>
        <row r="177">
          <cell r="B177" t="str">
            <v>77:01:0003042</v>
          </cell>
        </row>
        <row r="178">
          <cell r="B178" t="str">
            <v>77:01:0003043</v>
          </cell>
        </row>
        <row r="179">
          <cell r="B179" t="str">
            <v>77:01:0003044</v>
          </cell>
        </row>
        <row r="180">
          <cell r="B180" t="str">
            <v>77:01:0003045</v>
          </cell>
        </row>
        <row r="181">
          <cell r="B181" t="str">
            <v>77:01:0003046</v>
          </cell>
        </row>
        <row r="182">
          <cell r="B182" t="str">
            <v>77:01:0003047</v>
          </cell>
        </row>
        <row r="183">
          <cell r="B183" t="str">
            <v>77:01:0003048</v>
          </cell>
        </row>
        <row r="184">
          <cell r="B184" t="str">
            <v>77:01:0003049</v>
          </cell>
        </row>
        <row r="185">
          <cell r="B185" t="str">
            <v>77:01:0003050</v>
          </cell>
        </row>
        <row r="186">
          <cell r="B186" t="str">
            <v>77:01:0003051</v>
          </cell>
        </row>
        <row r="187">
          <cell r="B187" t="str">
            <v>77:01:0003052</v>
          </cell>
        </row>
        <row r="188">
          <cell r="B188" t="str">
            <v>77:01:0003053</v>
          </cell>
        </row>
        <row r="189">
          <cell r="B189" t="str">
            <v>77:01:0003054</v>
          </cell>
        </row>
        <row r="190">
          <cell r="B190" t="str">
            <v>77:01:0003055</v>
          </cell>
        </row>
        <row r="191">
          <cell r="B191" t="str">
            <v>77:01:0003056</v>
          </cell>
        </row>
        <row r="192">
          <cell r="B192" t="str">
            <v>77:01:0003057</v>
          </cell>
        </row>
        <row r="193">
          <cell r="B193" t="str">
            <v>77:01:0003058</v>
          </cell>
        </row>
        <row r="194">
          <cell r="B194" t="str">
            <v>77:01:0003059</v>
          </cell>
        </row>
        <row r="195">
          <cell r="B195" t="str">
            <v>77:01:0003060</v>
          </cell>
        </row>
        <row r="196">
          <cell r="B196" t="str">
            <v>77:01:0003061</v>
          </cell>
        </row>
        <row r="197">
          <cell r="B197" t="str">
            <v>77:01:0003063</v>
          </cell>
        </row>
        <row r="198">
          <cell r="B198" t="str">
            <v>77:01:0004001</v>
          </cell>
        </row>
        <row r="199">
          <cell r="B199" t="str">
            <v>77:01:0004002</v>
          </cell>
        </row>
        <row r="200">
          <cell r="B200" t="str">
            <v>77:01:0004003</v>
          </cell>
        </row>
        <row r="201">
          <cell r="B201" t="str">
            <v>77:01:0004004</v>
          </cell>
        </row>
        <row r="202">
          <cell r="B202" t="str">
            <v>77:01:0004005</v>
          </cell>
        </row>
        <row r="203">
          <cell r="B203" t="str">
            <v>77:01:0004006</v>
          </cell>
        </row>
        <row r="204">
          <cell r="B204" t="str">
            <v>77:01:0004007</v>
          </cell>
        </row>
        <row r="205">
          <cell r="B205" t="str">
            <v>77:01:0004008</v>
          </cell>
        </row>
        <row r="206">
          <cell r="B206" t="str">
            <v>77:01:0004009</v>
          </cell>
        </row>
        <row r="207">
          <cell r="B207" t="str">
            <v>77:01:0004010</v>
          </cell>
        </row>
        <row r="208">
          <cell r="B208" t="str">
            <v>77:01:0004011</v>
          </cell>
        </row>
        <row r="209">
          <cell r="B209" t="str">
            <v>77:01:0004012</v>
          </cell>
        </row>
        <row r="210">
          <cell r="B210" t="str">
            <v>77:01:0004013</v>
          </cell>
        </row>
        <row r="211">
          <cell r="B211" t="str">
            <v>77:01:0004014</v>
          </cell>
        </row>
        <row r="212">
          <cell r="B212" t="str">
            <v>77:01:0004015</v>
          </cell>
        </row>
        <row r="213">
          <cell r="B213" t="str">
            <v>77:01:0004016</v>
          </cell>
        </row>
        <row r="214">
          <cell r="B214" t="str">
            <v>77:01:0004017</v>
          </cell>
        </row>
        <row r="215">
          <cell r="B215" t="str">
            <v>77:01:0004018</v>
          </cell>
        </row>
        <row r="216">
          <cell r="B216" t="str">
            <v>77:01:0004019</v>
          </cell>
        </row>
        <row r="217">
          <cell r="B217" t="str">
            <v>77:01:0004020</v>
          </cell>
        </row>
        <row r="218">
          <cell r="B218" t="str">
            <v>77:01:0004021</v>
          </cell>
        </row>
        <row r="219">
          <cell r="B219" t="str">
            <v>77:01:0004022</v>
          </cell>
        </row>
        <row r="220">
          <cell r="B220" t="str">
            <v>77:01:0004023</v>
          </cell>
        </row>
        <row r="221">
          <cell r="B221" t="str">
            <v>77:01:0004024</v>
          </cell>
        </row>
        <row r="222">
          <cell r="B222" t="str">
            <v>77:01:0004025</v>
          </cell>
        </row>
        <row r="223">
          <cell r="B223" t="str">
            <v>77:01:0004026</v>
          </cell>
        </row>
        <row r="224">
          <cell r="B224" t="str">
            <v>77:01:0004027</v>
          </cell>
        </row>
        <row r="225">
          <cell r="B225" t="str">
            <v>77:01:0004028</v>
          </cell>
        </row>
        <row r="226">
          <cell r="B226" t="str">
            <v>77:01:0004029</v>
          </cell>
        </row>
        <row r="227">
          <cell r="B227" t="str">
            <v>77:01:0004030</v>
          </cell>
        </row>
        <row r="228">
          <cell r="B228" t="str">
            <v>77:01:0004031</v>
          </cell>
        </row>
        <row r="229">
          <cell r="B229" t="str">
            <v>77:01:0004032</v>
          </cell>
        </row>
        <row r="230">
          <cell r="B230" t="str">
            <v>77:01:0004033</v>
          </cell>
        </row>
        <row r="231">
          <cell r="B231" t="str">
            <v>77:01:0004034</v>
          </cell>
        </row>
        <row r="232">
          <cell r="B232" t="str">
            <v>77:01:0004035</v>
          </cell>
        </row>
        <row r="233">
          <cell r="B233" t="str">
            <v>77:01:0004036</v>
          </cell>
        </row>
        <row r="234">
          <cell r="B234" t="str">
            <v>77:01:0004037</v>
          </cell>
        </row>
        <row r="235">
          <cell r="B235" t="str">
            <v>77:01:0004038</v>
          </cell>
        </row>
        <row r="236">
          <cell r="B236" t="str">
            <v>77:01:0004039</v>
          </cell>
        </row>
        <row r="237">
          <cell r="B237" t="str">
            <v>77:01:0004040</v>
          </cell>
        </row>
        <row r="238">
          <cell r="B238" t="str">
            <v>77:01:0004041</v>
          </cell>
        </row>
        <row r="239">
          <cell r="B239" t="str">
            <v>77:01:0004042</v>
          </cell>
        </row>
        <row r="240">
          <cell r="B240" t="str">
            <v>77:01:0004043</v>
          </cell>
        </row>
        <row r="241">
          <cell r="B241" t="str">
            <v>77:01:0004044</v>
          </cell>
        </row>
        <row r="242">
          <cell r="B242" t="str">
            <v>77:01:0004045</v>
          </cell>
        </row>
        <row r="243">
          <cell r="B243" t="str">
            <v>77:01:0004046</v>
          </cell>
        </row>
        <row r="244">
          <cell r="B244" t="str">
            <v>77:01:0004047</v>
          </cell>
        </row>
        <row r="245">
          <cell r="B245" t="str">
            <v>77:01:0005001</v>
          </cell>
        </row>
        <row r="246">
          <cell r="B246" t="str">
            <v>77:01:0005002</v>
          </cell>
        </row>
        <row r="247">
          <cell r="B247" t="str">
            <v>77:01:0005003</v>
          </cell>
        </row>
        <row r="248">
          <cell r="B248" t="str">
            <v>77:01:0005004</v>
          </cell>
        </row>
        <row r="249">
          <cell r="B249" t="str">
            <v>77:01:0005005</v>
          </cell>
        </row>
        <row r="250">
          <cell r="B250" t="str">
            <v>77:01:0005006</v>
          </cell>
        </row>
        <row r="251">
          <cell r="B251" t="str">
            <v>77:01:0005007</v>
          </cell>
        </row>
        <row r="252">
          <cell r="B252" t="str">
            <v>77:01:0005008</v>
          </cell>
        </row>
        <row r="253">
          <cell r="B253" t="str">
            <v>77:01:0005009</v>
          </cell>
        </row>
        <row r="254">
          <cell r="B254" t="str">
            <v>77:01:0005010</v>
          </cell>
        </row>
        <row r="255">
          <cell r="B255" t="str">
            <v>77:01:0005011</v>
          </cell>
        </row>
        <row r="256">
          <cell r="B256" t="str">
            <v>77:01:0005012</v>
          </cell>
        </row>
        <row r="257">
          <cell r="B257" t="str">
            <v>77:01:0005013</v>
          </cell>
        </row>
        <row r="258">
          <cell r="B258" t="str">
            <v>77:01:0005014</v>
          </cell>
        </row>
        <row r="259">
          <cell r="B259" t="str">
            <v>77:01:0005015</v>
          </cell>
        </row>
        <row r="260">
          <cell r="B260" t="str">
            <v>77:01:0005016</v>
          </cell>
        </row>
        <row r="261">
          <cell r="B261" t="str">
            <v>77:01:0005017</v>
          </cell>
        </row>
        <row r="262">
          <cell r="B262" t="str">
            <v>77:01:0005018</v>
          </cell>
        </row>
        <row r="263">
          <cell r="B263" t="str">
            <v>77:01:0005019</v>
          </cell>
        </row>
        <row r="264">
          <cell r="B264" t="str">
            <v>77:01:0005020</v>
          </cell>
        </row>
        <row r="265">
          <cell r="B265" t="str">
            <v>77:01:0005021</v>
          </cell>
        </row>
        <row r="266">
          <cell r="B266" t="str">
            <v>77:01:0006001</v>
          </cell>
        </row>
        <row r="267">
          <cell r="B267" t="str">
            <v>77:01:0006003</v>
          </cell>
        </row>
        <row r="268">
          <cell r="B268" t="str">
            <v>77:01:0006004</v>
          </cell>
        </row>
        <row r="269">
          <cell r="B269" t="str">
            <v>77:01:0006005</v>
          </cell>
        </row>
        <row r="270">
          <cell r="B270" t="str">
            <v>77:01:0006006</v>
          </cell>
        </row>
        <row r="271">
          <cell r="B271" t="str">
            <v>77:01:0006007</v>
          </cell>
        </row>
        <row r="272">
          <cell r="B272" t="str">
            <v>77:01:0006008</v>
          </cell>
        </row>
        <row r="273">
          <cell r="B273" t="str">
            <v>77:01:0006009</v>
          </cell>
        </row>
        <row r="274">
          <cell r="B274" t="str">
            <v>77:01:0006010</v>
          </cell>
        </row>
        <row r="275">
          <cell r="B275" t="str">
            <v>77:01:0006011</v>
          </cell>
        </row>
        <row r="276">
          <cell r="B276" t="str">
            <v>77:01:0006012</v>
          </cell>
        </row>
        <row r="277">
          <cell r="B277" t="str">
            <v>77:01:0006013</v>
          </cell>
        </row>
        <row r="278">
          <cell r="B278" t="str">
            <v>77:01:0006014</v>
          </cell>
        </row>
        <row r="279">
          <cell r="B279" t="str">
            <v>77:01:0006015</v>
          </cell>
        </row>
        <row r="280">
          <cell r="B280" t="str">
            <v>77:01:0006016</v>
          </cell>
        </row>
        <row r="281">
          <cell r="B281" t="str">
            <v>77:01:0006017</v>
          </cell>
        </row>
        <row r="282">
          <cell r="B282" t="str">
            <v>77:01:0006018</v>
          </cell>
        </row>
        <row r="283">
          <cell r="B283" t="str">
            <v>77:01:0006019</v>
          </cell>
        </row>
        <row r="284">
          <cell r="B284" t="str">
            <v>77:01:0006020</v>
          </cell>
        </row>
        <row r="285">
          <cell r="B285" t="str">
            <v>77:01:0006021</v>
          </cell>
        </row>
        <row r="286">
          <cell r="B286" t="str">
            <v>77:01:0006022</v>
          </cell>
        </row>
        <row r="287">
          <cell r="B287" t="str">
            <v>77:01:0006023</v>
          </cell>
        </row>
        <row r="288">
          <cell r="B288" t="str">
            <v>77:01:0006024</v>
          </cell>
        </row>
        <row r="289">
          <cell r="B289" t="str">
            <v>77:01:0006025</v>
          </cell>
        </row>
        <row r="290">
          <cell r="B290" t="str">
            <v>77:01:0006026</v>
          </cell>
        </row>
        <row r="291">
          <cell r="B291" t="str">
            <v>77:01:0006027</v>
          </cell>
        </row>
        <row r="292">
          <cell r="B292" t="str">
            <v>77:01:0006028</v>
          </cell>
        </row>
        <row r="293">
          <cell r="B293" t="str">
            <v>77:01:0006029</v>
          </cell>
        </row>
        <row r="294">
          <cell r="B294" t="str">
            <v>77:01:0006030</v>
          </cell>
        </row>
        <row r="295">
          <cell r="B295" t="str">
            <v>77:01:0006031</v>
          </cell>
        </row>
        <row r="296">
          <cell r="B296" t="str">
            <v>77:01:0006032</v>
          </cell>
        </row>
        <row r="297">
          <cell r="B297" t="str">
            <v>77:01:0006033</v>
          </cell>
        </row>
        <row r="298">
          <cell r="B298" t="str">
            <v>77:01:0006034</v>
          </cell>
        </row>
        <row r="299">
          <cell r="B299" t="str">
            <v>77:01:0006035</v>
          </cell>
        </row>
        <row r="300">
          <cell r="B300" t="str">
            <v>77:01:0006036</v>
          </cell>
        </row>
        <row r="301">
          <cell r="B301" t="str">
            <v>77:01:0006037</v>
          </cell>
        </row>
        <row r="302">
          <cell r="B302" t="str">
            <v>77:01:0006038</v>
          </cell>
        </row>
        <row r="303">
          <cell r="B303" t="str">
            <v>77:01:0006039</v>
          </cell>
        </row>
        <row r="304">
          <cell r="B304" t="str">
            <v>77:01:0006040</v>
          </cell>
        </row>
        <row r="305">
          <cell r="B305" t="str">
            <v>77:01:0006041</v>
          </cell>
        </row>
        <row r="306">
          <cell r="B306" t="str">
            <v>77:01:0006042</v>
          </cell>
        </row>
        <row r="307">
          <cell r="B307" t="str">
            <v>77:01:0006043</v>
          </cell>
        </row>
        <row r="308">
          <cell r="B308" t="str">
            <v>77:01:0006044</v>
          </cell>
        </row>
        <row r="309">
          <cell r="B309" t="str">
            <v>77:02:0001001</v>
          </cell>
        </row>
        <row r="310">
          <cell r="B310" t="str">
            <v>77:02:0001002</v>
          </cell>
        </row>
        <row r="311">
          <cell r="B311" t="str">
            <v>77:02:0001003</v>
          </cell>
        </row>
        <row r="312">
          <cell r="B312" t="str">
            <v>77:02:0001004</v>
          </cell>
        </row>
        <row r="313">
          <cell r="B313" t="str">
            <v>77:02:0001005</v>
          </cell>
        </row>
        <row r="314">
          <cell r="B314" t="str">
            <v>77:02:0001006</v>
          </cell>
        </row>
        <row r="315">
          <cell r="B315" t="str">
            <v>77:02:0001007</v>
          </cell>
        </row>
        <row r="316">
          <cell r="B316" t="str">
            <v>77:02:0001008</v>
          </cell>
        </row>
        <row r="317">
          <cell r="B317" t="str">
            <v>77:02:0001009</v>
          </cell>
        </row>
        <row r="318">
          <cell r="B318" t="str">
            <v>77:02:0001010</v>
          </cell>
        </row>
        <row r="319">
          <cell r="B319" t="str">
            <v>77:02:0001011</v>
          </cell>
        </row>
        <row r="320">
          <cell r="B320" t="str">
            <v>77:02:0001012</v>
          </cell>
        </row>
        <row r="321">
          <cell r="B321" t="str">
            <v>77:02:0001013</v>
          </cell>
        </row>
        <row r="322">
          <cell r="B322" t="str">
            <v>77:02:0001014</v>
          </cell>
        </row>
        <row r="323">
          <cell r="B323" t="str">
            <v>77:02:0001015</v>
          </cell>
        </row>
        <row r="324">
          <cell r="B324" t="str">
            <v>77:02:0001016</v>
          </cell>
        </row>
        <row r="325">
          <cell r="B325" t="str">
            <v>77:02:0001017</v>
          </cell>
        </row>
        <row r="326">
          <cell r="B326" t="str">
            <v>77:02:0001018</v>
          </cell>
        </row>
        <row r="327">
          <cell r="B327" t="str">
            <v>77:02:0001019</v>
          </cell>
        </row>
        <row r="328">
          <cell r="B328" t="str">
            <v>77:02:0002001</v>
          </cell>
        </row>
        <row r="329">
          <cell r="B329" t="str">
            <v>77:02:0002002</v>
          </cell>
        </row>
        <row r="330">
          <cell r="B330" t="str">
            <v>77:02:0002003</v>
          </cell>
        </row>
        <row r="331">
          <cell r="B331" t="str">
            <v>77:02:0002004</v>
          </cell>
        </row>
        <row r="332">
          <cell r="B332" t="str">
            <v>77:02:0002005</v>
          </cell>
        </row>
        <row r="333">
          <cell r="B333" t="str">
            <v>77:02:0002006</v>
          </cell>
        </row>
        <row r="334">
          <cell r="B334" t="str">
            <v>77:02:0002007</v>
          </cell>
        </row>
        <row r="335">
          <cell r="B335" t="str">
            <v>77:02:0002008</v>
          </cell>
        </row>
        <row r="336">
          <cell r="B336" t="str">
            <v>77:02:0002009</v>
          </cell>
        </row>
        <row r="337">
          <cell r="B337" t="str">
            <v>77:02:0002010</v>
          </cell>
        </row>
        <row r="338">
          <cell r="B338" t="str">
            <v>77:02:0002011</v>
          </cell>
        </row>
        <row r="339">
          <cell r="B339" t="str">
            <v>77:02:0002012</v>
          </cell>
        </row>
        <row r="340">
          <cell r="B340" t="str">
            <v>77:02:0002013</v>
          </cell>
        </row>
        <row r="341">
          <cell r="B341" t="str">
            <v>77:02:0002014</v>
          </cell>
        </row>
        <row r="342">
          <cell r="B342" t="str">
            <v>77:02:0003001</v>
          </cell>
        </row>
        <row r="343">
          <cell r="B343" t="str">
            <v>77:02:0003002</v>
          </cell>
        </row>
        <row r="344">
          <cell r="B344" t="str">
            <v>77:02:0003003</v>
          </cell>
        </row>
        <row r="345">
          <cell r="B345" t="str">
            <v>77:02:0003004</v>
          </cell>
        </row>
        <row r="346">
          <cell r="B346" t="str">
            <v>77:02:0003005</v>
          </cell>
        </row>
        <row r="347">
          <cell r="B347" t="str">
            <v>77:02:0003006</v>
          </cell>
        </row>
        <row r="348">
          <cell r="B348" t="str">
            <v>77:02:0004001</v>
          </cell>
        </row>
        <row r="349">
          <cell r="B349" t="str">
            <v>77:02:0004002</v>
          </cell>
        </row>
        <row r="350">
          <cell r="B350" t="str">
            <v>77:02:0004003</v>
          </cell>
        </row>
        <row r="351">
          <cell r="B351" t="str">
            <v>77:02:0004004</v>
          </cell>
        </row>
        <row r="352">
          <cell r="B352" t="str">
            <v>77:02:0004005</v>
          </cell>
        </row>
        <row r="353">
          <cell r="B353" t="str">
            <v>77:02:0004006</v>
          </cell>
        </row>
        <row r="354">
          <cell r="B354" t="str">
            <v>77:02:0004007</v>
          </cell>
        </row>
        <row r="355">
          <cell r="B355" t="str">
            <v>77:02:0004008</v>
          </cell>
        </row>
        <row r="356">
          <cell r="B356" t="str">
            <v>77:02:0004009</v>
          </cell>
        </row>
        <row r="357">
          <cell r="B357" t="str">
            <v>77:02:0005001</v>
          </cell>
        </row>
        <row r="358">
          <cell r="B358" t="str">
            <v>77:02:0005002</v>
          </cell>
        </row>
        <row r="359">
          <cell r="B359" t="str">
            <v>77:02:0005003</v>
          </cell>
        </row>
        <row r="360">
          <cell r="B360" t="str">
            <v>77:02:0005004</v>
          </cell>
        </row>
        <row r="361">
          <cell r="B361" t="str">
            <v>77:02:0005005</v>
          </cell>
        </row>
        <row r="362">
          <cell r="B362" t="str">
            <v>77:02:0005006</v>
          </cell>
        </row>
        <row r="363">
          <cell r="B363" t="str">
            <v>77:02:0006001</v>
          </cell>
        </row>
        <row r="364">
          <cell r="B364" t="str">
            <v>77:02:0006002</v>
          </cell>
        </row>
        <row r="365">
          <cell r="B365" t="str">
            <v>77:02:0006003</v>
          </cell>
        </row>
        <row r="366">
          <cell r="B366" t="str">
            <v>77:02:0006004</v>
          </cell>
        </row>
        <row r="367">
          <cell r="B367" t="str">
            <v>77:02:0006005</v>
          </cell>
        </row>
        <row r="368">
          <cell r="B368" t="str">
            <v>77:02:0006006</v>
          </cell>
        </row>
        <row r="369">
          <cell r="B369" t="str">
            <v>77:02:0007001</v>
          </cell>
        </row>
        <row r="370">
          <cell r="B370" t="str">
            <v>77:02:0007002</v>
          </cell>
        </row>
        <row r="371">
          <cell r="B371" t="str">
            <v>77:02:0007003</v>
          </cell>
        </row>
        <row r="372">
          <cell r="B372" t="str">
            <v>77:02:0007004</v>
          </cell>
        </row>
        <row r="373">
          <cell r="B373" t="str">
            <v>77:02:0007005</v>
          </cell>
        </row>
        <row r="374">
          <cell r="B374" t="str">
            <v>77:02:0008001</v>
          </cell>
        </row>
        <row r="375">
          <cell r="B375" t="str">
            <v>77:02:0008002</v>
          </cell>
        </row>
        <row r="376">
          <cell r="B376" t="str">
            <v>77:02:0008003</v>
          </cell>
        </row>
        <row r="377">
          <cell r="B377" t="str">
            <v>77:02:0008004</v>
          </cell>
        </row>
        <row r="378">
          <cell r="B378" t="str">
            <v>77:02:0008005</v>
          </cell>
        </row>
        <row r="379">
          <cell r="B379" t="str">
            <v>77:02:0008006</v>
          </cell>
        </row>
        <row r="380">
          <cell r="B380" t="str">
            <v>77:02:0008007</v>
          </cell>
        </row>
        <row r="381">
          <cell r="B381" t="str">
            <v>77:02:0008008</v>
          </cell>
        </row>
        <row r="382">
          <cell r="B382" t="str">
            <v>77:02:0008009</v>
          </cell>
        </row>
        <row r="383">
          <cell r="B383" t="str">
            <v>77:02:0009001</v>
          </cell>
        </row>
        <row r="384">
          <cell r="B384" t="str">
            <v>77:02:0009002</v>
          </cell>
        </row>
        <row r="385">
          <cell r="B385" t="str">
            <v>77:02:0009003</v>
          </cell>
        </row>
        <row r="386">
          <cell r="B386" t="str">
            <v>77:02:0009004</v>
          </cell>
        </row>
        <row r="387">
          <cell r="B387" t="str">
            <v>77:02:0009005</v>
          </cell>
        </row>
        <row r="388">
          <cell r="B388" t="str">
            <v>77:02:0010001</v>
          </cell>
        </row>
        <row r="389">
          <cell r="B389" t="str">
            <v>77:02:0010002</v>
          </cell>
        </row>
        <row r="390">
          <cell r="B390" t="str">
            <v>77:02:0010003</v>
          </cell>
        </row>
        <row r="391">
          <cell r="B391" t="str">
            <v>77:02:0010004</v>
          </cell>
        </row>
        <row r="392">
          <cell r="B392" t="str">
            <v>77:02:0010005</v>
          </cell>
        </row>
        <row r="393">
          <cell r="B393" t="str">
            <v>77:02:0010006</v>
          </cell>
        </row>
        <row r="394">
          <cell r="B394" t="str">
            <v>77:02:0010007</v>
          </cell>
        </row>
        <row r="395">
          <cell r="B395" t="str">
            <v>77:02:0010008</v>
          </cell>
        </row>
        <row r="396">
          <cell r="B396" t="str">
            <v>77:02:0010009</v>
          </cell>
        </row>
        <row r="397">
          <cell r="B397" t="str">
            <v>77:02:0010010</v>
          </cell>
        </row>
        <row r="398">
          <cell r="B398" t="str">
            <v>77:02:0010011</v>
          </cell>
        </row>
        <row r="399">
          <cell r="B399" t="str">
            <v>77:02:0010012</v>
          </cell>
        </row>
        <row r="400">
          <cell r="B400" t="str">
            <v>77:02:0010013</v>
          </cell>
        </row>
        <row r="401">
          <cell r="B401" t="str">
            <v>77:02:0010014</v>
          </cell>
        </row>
        <row r="402">
          <cell r="B402" t="str">
            <v>77:02:0010015</v>
          </cell>
        </row>
        <row r="403">
          <cell r="B403" t="str">
            <v>77:02:0010016</v>
          </cell>
        </row>
        <row r="404">
          <cell r="B404" t="str">
            <v>77:02:0010017</v>
          </cell>
        </row>
        <row r="405">
          <cell r="B405" t="str">
            <v>77:02:0011001</v>
          </cell>
        </row>
        <row r="406">
          <cell r="B406" t="str">
            <v>77:02:0011002</v>
          </cell>
        </row>
        <row r="407">
          <cell r="B407" t="str">
            <v>77:02:0011003</v>
          </cell>
        </row>
        <row r="408">
          <cell r="B408" t="str">
            <v>77:02:0011004</v>
          </cell>
        </row>
        <row r="409">
          <cell r="B409" t="str">
            <v>77:02:0011005</v>
          </cell>
        </row>
        <row r="410">
          <cell r="B410" t="str">
            <v>77:02:0011006</v>
          </cell>
        </row>
        <row r="411">
          <cell r="B411" t="str">
            <v>77:02:0012001</v>
          </cell>
        </row>
        <row r="412">
          <cell r="B412" t="str">
            <v>77:02:0012002</v>
          </cell>
        </row>
        <row r="413">
          <cell r="B413" t="str">
            <v>77:02:0013001</v>
          </cell>
        </row>
        <row r="414">
          <cell r="B414" t="str">
            <v>77:02:0013002</v>
          </cell>
        </row>
        <row r="415">
          <cell r="B415" t="str">
            <v>77:02:0013003</v>
          </cell>
        </row>
        <row r="416">
          <cell r="B416" t="str">
            <v>77:02:0013004</v>
          </cell>
        </row>
        <row r="417">
          <cell r="B417" t="str">
            <v>77:02:0013005</v>
          </cell>
        </row>
        <row r="418">
          <cell r="B418" t="str">
            <v>77:02:0013006</v>
          </cell>
        </row>
        <row r="419">
          <cell r="B419" t="str">
            <v>77:02:0013007</v>
          </cell>
        </row>
        <row r="420">
          <cell r="B420" t="str">
            <v>77:02:0013008</v>
          </cell>
        </row>
        <row r="421">
          <cell r="B421" t="str">
            <v>77:02:0013009</v>
          </cell>
        </row>
        <row r="422">
          <cell r="B422" t="str">
            <v>77:02:0013010</v>
          </cell>
        </row>
        <row r="423">
          <cell r="B423" t="str">
            <v>77:02:0013011</v>
          </cell>
        </row>
        <row r="424">
          <cell r="B424" t="str">
            <v>77:02:0013012</v>
          </cell>
        </row>
        <row r="425">
          <cell r="B425" t="str">
            <v>77:02:0014001</v>
          </cell>
        </row>
        <row r="426">
          <cell r="B426" t="str">
            <v>77:02:0014002</v>
          </cell>
        </row>
        <row r="427">
          <cell r="B427" t="str">
            <v>77:02:0014003</v>
          </cell>
        </row>
        <row r="428">
          <cell r="B428" t="str">
            <v>77:02:0014004</v>
          </cell>
        </row>
        <row r="429">
          <cell r="B429" t="str">
            <v>77:02:0014005</v>
          </cell>
        </row>
        <row r="430">
          <cell r="B430" t="str">
            <v>77:02:0014006</v>
          </cell>
        </row>
        <row r="431">
          <cell r="B431" t="str">
            <v>77:02:0014007</v>
          </cell>
        </row>
        <row r="432">
          <cell r="B432" t="str">
            <v>77:02:0014008</v>
          </cell>
        </row>
        <row r="433">
          <cell r="B433" t="str">
            <v>77:02:0014009</v>
          </cell>
        </row>
        <row r="434">
          <cell r="B434" t="str">
            <v>77:02:0014010</v>
          </cell>
        </row>
        <row r="435">
          <cell r="B435" t="str">
            <v>77:02:0014011</v>
          </cell>
        </row>
        <row r="436">
          <cell r="B436" t="str">
            <v>77:02:0014012</v>
          </cell>
        </row>
        <row r="437">
          <cell r="B437" t="str">
            <v>77:02:0015001</v>
          </cell>
        </row>
        <row r="438">
          <cell r="B438" t="str">
            <v>77:02:0015002</v>
          </cell>
        </row>
        <row r="439">
          <cell r="B439" t="str">
            <v>77:02:0015003</v>
          </cell>
        </row>
        <row r="440">
          <cell r="B440" t="str">
            <v>77:02:0015004</v>
          </cell>
        </row>
        <row r="441">
          <cell r="B441" t="str">
            <v>77:02:0015005</v>
          </cell>
        </row>
        <row r="442">
          <cell r="B442" t="str">
            <v>77:02:0015006</v>
          </cell>
        </row>
        <row r="443">
          <cell r="B443" t="str">
            <v>77:02:0015007</v>
          </cell>
        </row>
        <row r="444">
          <cell r="B444" t="str">
            <v>77:02:0015008</v>
          </cell>
        </row>
        <row r="445">
          <cell r="B445" t="str">
            <v>77:02:0015009</v>
          </cell>
        </row>
        <row r="446">
          <cell r="B446" t="str">
            <v>77:02:0015010</v>
          </cell>
        </row>
        <row r="447">
          <cell r="B447" t="str">
            <v>77:02:0015011</v>
          </cell>
        </row>
        <row r="448">
          <cell r="B448" t="str">
            <v>77:02:0015012</v>
          </cell>
        </row>
        <row r="449">
          <cell r="B449" t="str">
            <v>77:02:0015013</v>
          </cell>
        </row>
        <row r="450">
          <cell r="B450" t="str">
            <v>77:02:0016001</v>
          </cell>
        </row>
        <row r="451">
          <cell r="B451" t="str">
            <v>77:02:0016002</v>
          </cell>
        </row>
        <row r="452">
          <cell r="B452" t="str">
            <v>77:02:0016003</v>
          </cell>
        </row>
        <row r="453">
          <cell r="B453" t="str">
            <v>77:02:0016004</v>
          </cell>
        </row>
        <row r="454">
          <cell r="B454" t="str">
            <v>77:02:0016005</v>
          </cell>
        </row>
        <row r="455">
          <cell r="B455" t="str">
            <v>77:02:0016006</v>
          </cell>
        </row>
        <row r="456">
          <cell r="B456" t="str">
            <v>77:02:0016007</v>
          </cell>
        </row>
        <row r="457">
          <cell r="B457" t="str">
            <v>77:02:0016008</v>
          </cell>
        </row>
        <row r="458">
          <cell r="B458" t="str">
            <v>77:02:0016009</v>
          </cell>
        </row>
        <row r="459">
          <cell r="B459" t="str">
            <v>77:02:0016010</v>
          </cell>
        </row>
        <row r="460">
          <cell r="B460" t="str">
            <v>77:02:0017001</v>
          </cell>
        </row>
        <row r="461">
          <cell r="B461" t="str">
            <v>77:02:0017002</v>
          </cell>
        </row>
        <row r="462">
          <cell r="B462" t="str">
            <v>77:02:0017003</v>
          </cell>
        </row>
        <row r="463">
          <cell r="B463" t="str">
            <v>77:02:0017004</v>
          </cell>
        </row>
        <row r="464">
          <cell r="B464" t="str">
            <v>77:02:0017005</v>
          </cell>
        </row>
        <row r="465">
          <cell r="B465" t="str">
            <v>77:02:0017006</v>
          </cell>
        </row>
        <row r="466">
          <cell r="B466" t="str">
            <v>77:02:0018001</v>
          </cell>
        </row>
        <row r="467">
          <cell r="B467" t="str">
            <v>77:02:0018002</v>
          </cell>
        </row>
        <row r="468">
          <cell r="B468" t="str">
            <v>77:02:0018003</v>
          </cell>
        </row>
        <row r="469">
          <cell r="B469" t="str">
            <v>77:02:0018006</v>
          </cell>
        </row>
        <row r="470">
          <cell r="B470" t="str">
            <v>77:02:0018007</v>
          </cell>
        </row>
        <row r="471">
          <cell r="B471" t="str">
            <v>77:02:0018008</v>
          </cell>
        </row>
        <row r="472">
          <cell r="B472" t="str">
            <v>77:02:0018009</v>
          </cell>
        </row>
        <row r="473">
          <cell r="B473" t="str">
            <v>77:02:0018010</v>
          </cell>
        </row>
        <row r="474">
          <cell r="B474" t="str">
            <v>77:02:0018011</v>
          </cell>
        </row>
        <row r="475">
          <cell r="B475" t="str">
            <v>77:02:0018012</v>
          </cell>
        </row>
        <row r="476">
          <cell r="B476" t="str">
            <v>77:02:0019001</v>
          </cell>
        </row>
        <row r="477">
          <cell r="B477" t="str">
            <v>77:02:0019002</v>
          </cell>
        </row>
        <row r="478">
          <cell r="B478" t="str">
            <v>77:02:0019003</v>
          </cell>
        </row>
        <row r="479">
          <cell r="B479" t="str">
            <v>77:02:0019004</v>
          </cell>
        </row>
        <row r="480">
          <cell r="B480" t="str">
            <v>77:02:0019005</v>
          </cell>
        </row>
        <row r="481">
          <cell r="B481" t="str">
            <v>77:02:0019006</v>
          </cell>
        </row>
        <row r="482">
          <cell r="B482" t="str">
            <v>77:02:0019007</v>
          </cell>
        </row>
        <row r="483">
          <cell r="B483" t="str">
            <v>77:02:0019008</v>
          </cell>
        </row>
        <row r="484">
          <cell r="B484" t="str">
            <v>77:02:0019009</v>
          </cell>
        </row>
        <row r="485">
          <cell r="B485" t="str">
            <v>77:02:0019010</v>
          </cell>
        </row>
        <row r="486">
          <cell r="B486" t="str">
            <v>77:02:0019011</v>
          </cell>
        </row>
        <row r="487">
          <cell r="B487" t="str">
            <v>77:02:0019012</v>
          </cell>
        </row>
        <row r="488">
          <cell r="B488" t="str">
            <v>77:02:0020001</v>
          </cell>
        </row>
        <row r="489">
          <cell r="B489" t="str">
            <v>77:02:0020002</v>
          </cell>
        </row>
        <row r="490">
          <cell r="B490" t="str">
            <v>77:02:0020003</v>
          </cell>
        </row>
        <row r="491">
          <cell r="B491" t="str">
            <v>77:02:0020004</v>
          </cell>
        </row>
        <row r="492">
          <cell r="B492" t="str">
            <v>77:02:0020006</v>
          </cell>
        </row>
        <row r="493">
          <cell r="B493" t="str">
            <v>77:02:0020007</v>
          </cell>
        </row>
        <row r="494">
          <cell r="B494" t="str">
            <v>77:02:0020008</v>
          </cell>
        </row>
        <row r="495">
          <cell r="B495" t="str">
            <v>77:02:0020009</v>
          </cell>
        </row>
        <row r="496">
          <cell r="B496" t="str">
            <v>77:02:0021001</v>
          </cell>
        </row>
        <row r="497">
          <cell r="B497" t="str">
            <v>77:02:0021002</v>
          </cell>
        </row>
        <row r="498">
          <cell r="B498" t="str">
            <v>77:02:0021003</v>
          </cell>
        </row>
        <row r="499">
          <cell r="B499" t="str">
            <v>77:02:0021004</v>
          </cell>
        </row>
        <row r="500">
          <cell r="B500" t="str">
            <v>77:02:0021005</v>
          </cell>
        </row>
        <row r="501">
          <cell r="B501" t="str">
            <v>77:02:0021006</v>
          </cell>
        </row>
        <row r="502">
          <cell r="B502" t="str">
            <v>77:02:0021007</v>
          </cell>
        </row>
        <row r="503">
          <cell r="B503" t="str">
            <v>77:02:0021008</v>
          </cell>
        </row>
        <row r="504">
          <cell r="B504" t="str">
            <v>77:02:0021009</v>
          </cell>
        </row>
        <row r="505">
          <cell r="B505" t="str">
            <v>77:02:0021010</v>
          </cell>
        </row>
        <row r="506">
          <cell r="B506" t="str">
            <v>77:02:0021011</v>
          </cell>
        </row>
        <row r="507">
          <cell r="B507" t="str">
            <v>77:02:0021012</v>
          </cell>
        </row>
        <row r="508">
          <cell r="B508" t="str">
            <v>77:02:0021013</v>
          </cell>
        </row>
        <row r="509">
          <cell r="B509" t="str">
            <v>77:02:0021014</v>
          </cell>
        </row>
        <row r="510">
          <cell r="B510" t="str">
            <v>77:02:0021015</v>
          </cell>
        </row>
        <row r="511">
          <cell r="B511" t="str">
            <v>77:02:0021016</v>
          </cell>
        </row>
        <row r="512">
          <cell r="B512" t="str">
            <v>77:02:0021017</v>
          </cell>
        </row>
        <row r="513">
          <cell r="B513" t="str">
            <v>77:02:0022001</v>
          </cell>
        </row>
        <row r="514">
          <cell r="B514" t="str">
            <v>77:02:0022002</v>
          </cell>
        </row>
        <row r="515">
          <cell r="B515" t="str">
            <v>77:02:0022003</v>
          </cell>
        </row>
        <row r="516">
          <cell r="B516" t="str">
            <v>77:02:0022004</v>
          </cell>
        </row>
        <row r="517">
          <cell r="B517" t="str">
            <v>77:02:0022005</v>
          </cell>
        </row>
        <row r="518">
          <cell r="B518" t="str">
            <v>77:02:0022006</v>
          </cell>
        </row>
        <row r="519">
          <cell r="B519" t="str">
            <v>77:02:0022007</v>
          </cell>
        </row>
        <row r="520">
          <cell r="B520" t="str">
            <v>77:02:0022008</v>
          </cell>
        </row>
        <row r="521">
          <cell r="B521" t="str">
            <v>77:02:0022009</v>
          </cell>
        </row>
        <row r="522">
          <cell r="B522" t="str">
            <v>77:02:0022010</v>
          </cell>
        </row>
        <row r="523">
          <cell r="B523" t="str">
            <v>77:02:0022011</v>
          </cell>
        </row>
        <row r="524">
          <cell r="B524" t="str">
            <v>77:02:0022012</v>
          </cell>
        </row>
        <row r="525">
          <cell r="B525" t="str">
            <v>77:02:0022013</v>
          </cell>
        </row>
        <row r="526">
          <cell r="B526" t="str">
            <v>77:02:0022014</v>
          </cell>
        </row>
        <row r="527">
          <cell r="B527" t="str">
            <v>77:02:0022015</v>
          </cell>
        </row>
        <row r="528">
          <cell r="B528" t="str">
            <v>77:02:0023001</v>
          </cell>
        </row>
        <row r="529">
          <cell r="B529" t="str">
            <v>77:02:0023002</v>
          </cell>
        </row>
        <row r="530">
          <cell r="B530" t="str">
            <v>77:02:0023003</v>
          </cell>
        </row>
        <row r="531">
          <cell r="B531" t="str">
            <v>77:02:0023004</v>
          </cell>
        </row>
        <row r="532">
          <cell r="B532" t="str">
            <v>77:02:0023005</v>
          </cell>
        </row>
        <row r="533">
          <cell r="B533" t="str">
            <v>77:02:0023006</v>
          </cell>
        </row>
        <row r="534">
          <cell r="B534" t="str">
            <v>77:02:0023007</v>
          </cell>
        </row>
        <row r="535">
          <cell r="B535" t="str">
            <v>77:02:0023008</v>
          </cell>
        </row>
        <row r="536">
          <cell r="B536" t="str">
            <v>77:02:0023009</v>
          </cell>
        </row>
        <row r="537">
          <cell r="B537" t="str">
            <v>77:02:0023010</v>
          </cell>
        </row>
        <row r="538">
          <cell r="B538" t="str">
            <v>77:02:0023011</v>
          </cell>
        </row>
        <row r="539">
          <cell r="B539" t="str">
            <v>77:02:0023012</v>
          </cell>
        </row>
        <row r="540">
          <cell r="B540" t="str">
            <v>77:02:0023013</v>
          </cell>
        </row>
        <row r="541">
          <cell r="B541" t="str">
            <v>77:02:0023014</v>
          </cell>
        </row>
        <row r="542">
          <cell r="B542" t="str">
            <v>77:02:0023015</v>
          </cell>
        </row>
        <row r="543">
          <cell r="B543" t="str">
            <v>77:02:0023016</v>
          </cell>
        </row>
        <row r="544">
          <cell r="B544" t="str">
            <v>77:02:0023017</v>
          </cell>
        </row>
        <row r="545">
          <cell r="B545" t="str">
            <v>77:02:0023018</v>
          </cell>
        </row>
        <row r="546">
          <cell r="B546" t="str">
            <v>77:02:0023019</v>
          </cell>
        </row>
        <row r="547">
          <cell r="B547" t="str">
            <v>77:02:0023020</v>
          </cell>
        </row>
        <row r="548">
          <cell r="B548" t="str">
            <v>77:02:0024001</v>
          </cell>
        </row>
        <row r="549">
          <cell r="B549" t="str">
            <v>77:02:0024002</v>
          </cell>
        </row>
        <row r="550">
          <cell r="B550" t="str">
            <v>77:02:0024003</v>
          </cell>
        </row>
        <row r="551">
          <cell r="B551" t="str">
            <v>77:02:0024004</v>
          </cell>
        </row>
        <row r="552">
          <cell r="B552" t="str">
            <v>77:02:0024005</v>
          </cell>
        </row>
        <row r="553">
          <cell r="B553" t="str">
            <v>77:02:0024006</v>
          </cell>
        </row>
        <row r="554">
          <cell r="B554" t="str">
            <v>77:02:0024007</v>
          </cell>
        </row>
        <row r="555">
          <cell r="B555" t="str">
            <v>77:02:0024008</v>
          </cell>
        </row>
        <row r="556">
          <cell r="B556" t="str">
            <v>77:02:0024009</v>
          </cell>
        </row>
        <row r="557">
          <cell r="B557" t="str">
            <v>77:02:0024010</v>
          </cell>
        </row>
        <row r="558">
          <cell r="B558" t="str">
            <v>77:02:0024011</v>
          </cell>
        </row>
        <row r="559">
          <cell r="B559" t="str">
            <v>77:02:0024012</v>
          </cell>
        </row>
        <row r="560">
          <cell r="B560" t="str">
            <v>77:02:0024013</v>
          </cell>
        </row>
        <row r="561">
          <cell r="B561" t="str">
            <v>77:02:0024014</v>
          </cell>
        </row>
        <row r="562">
          <cell r="B562" t="str">
            <v>77:02:0024015</v>
          </cell>
        </row>
        <row r="563">
          <cell r="B563" t="str">
            <v>77:02:0024016</v>
          </cell>
        </row>
        <row r="564">
          <cell r="B564" t="str">
            <v>77:02:0024017</v>
          </cell>
        </row>
        <row r="565">
          <cell r="B565" t="str">
            <v>77:02:0024018</v>
          </cell>
        </row>
        <row r="566">
          <cell r="B566" t="str">
            <v>77:02:0024019</v>
          </cell>
        </row>
        <row r="567">
          <cell r="B567" t="str">
            <v>77:02:0024020</v>
          </cell>
        </row>
        <row r="568">
          <cell r="B568" t="str">
            <v>77:02:0024021</v>
          </cell>
        </row>
        <row r="569">
          <cell r="B569" t="str">
            <v>77:02:0024022</v>
          </cell>
        </row>
        <row r="570">
          <cell r="B570" t="str">
            <v>77:02:0024023</v>
          </cell>
        </row>
        <row r="571">
          <cell r="B571" t="str">
            <v>77:02:0024024</v>
          </cell>
        </row>
        <row r="572">
          <cell r="B572" t="str">
            <v>77:02:0024025</v>
          </cell>
        </row>
        <row r="573">
          <cell r="B573" t="str">
            <v>77:02:0024026</v>
          </cell>
        </row>
        <row r="574">
          <cell r="B574" t="str">
            <v>77:02:0024027</v>
          </cell>
        </row>
        <row r="575">
          <cell r="B575" t="str">
            <v>77:02:0024028</v>
          </cell>
        </row>
        <row r="576">
          <cell r="B576" t="str">
            <v>77:02:0024029</v>
          </cell>
        </row>
        <row r="577">
          <cell r="B577" t="str">
            <v>77:02:0024030</v>
          </cell>
        </row>
        <row r="578">
          <cell r="B578" t="str">
            <v>77:02:0024031</v>
          </cell>
        </row>
        <row r="579">
          <cell r="B579" t="str">
            <v>77:02:0025001</v>
          </cell>
        </row>
        <row r="580">
          <cell r="B580" t="str">
            <v>77:02:0025002</v>
          </cell>
        </row>
        <row r="581">
          <cell r="B581" t="str">
            <v>77:02:0025005</v>
          </cell>
        </row>
        <row r="582">
          <cell r="B582" t="str">
            <v>77:02:0025008</v>
          </cell>
        </row>
        <row r="583">
          <cell r="B583" t="str">
            <v>77:02:0025009</v>
          </cell>
        </row>
        <row r="584">
          <cell r="B584" t="str">
            <v>77:02:0025010</v>
          </cell>
        </row>
        <row r="585">
          <cell r="B585" t="str">
            <v>77:02:0025011</v>
          </cell>
        </row>
        <row r="586">
          <cell r="B586" t="str">
            <v>77:02:0025012</v>
          </cell>
        </row>
        <row r="587">
          <cell r="B587" t="str">
            <v>77:02:0025013</v>
          </cell>
        </row>
        <row r="588">
          <cell r="B588" t="str">
            <v>77:02:0025014</v>
          </cell>
        </row>
        <row r="589">
          <cell r="B589" t="str">
            <v>77:02:0025015</v>
          </cell>
        </row>
        <row r="590">
          <cell r="B590" t="str">
            <v>77:02:0025016</v>
          </cell>
        </row>
        <row r="591">
          <cell r="B591" t="str">
            <v>77:02:0025017</v>
          </cell>
        </row>
        <row r="592">
          <cell r="B592" t="str">
            <v>77:03:0001001</v>
          </cell>
        </row>
        <row r="593">
          <cell r="B593" t="str">
            <v>77:03:0001002</v>
          </cell>
        </row>
        <row r="594">
          <cell r="B594" t="str">
            <v>77:03:0001003</v>
          </cell>
        </row>
        <row r="595">
          <cell r="B595" t="str">
            <v>77:03:0001004</v>
          </cell>
        </row>
        <row r="596">
          <cell r="B596" t="str">
            <v>77:03:0001005</v>
          </cell>
        </row>
        <row r="597">
          <cell r="B597" t="str">
            <v>77:03:0001007</v>
          </cell>
        </row>
        <row r="598">
          <cell r="B598" t="str">
            <v>77:03:0001008</v>
          </cell>
        </row>
        <row r="599">
          <cell r="B599" t="str">
            <v>77:03:0001009</v>
          </cell>
        </row>
        <row r="600">
          <cell r="B600" t="str">
            <v>77:03:0001010</v>
          </cell>
        </row>
        <row r="601">
          <cell r="B601" t="str">
            <v>77:03:0001011</v>
          </cell>
        </row>
        <row r="602">
          <cell r="B602" t="str">
            <v>77:03:0001012</v>
          </cell>
        </row>
        <row r="603">
          <cell r="B603" t="str">
            <v>77:03:0001013</v>
          </cell>
        </row>
        <row r="604">
          <cell r="B604" t="str">
            <v>77:03:0002001</v>
          </cell>
        </row>
        <row r="605">
          <cell r="B605" t="str">
            <v>77:03:0002002</v>
          </cell>
        </row>
        <row r="606">
          <cell r="B606" t="str">
            <v>77:03:0002003</v>
          </cell>
        </row>
        <row r="607">
          <cell r="B607" t="str">
            <v>77:03:0002004</v>
          </cell>
        </row>
        <row r="608">
          <cell r="B608" t="str">
            <v>77:03:0002005</v>
          </cell>
        </row>
        <row r="609">
          <cell r="B609" t="str">
            <v>77:03:0002006</v>
          </cell>
        </row>
        <row r="610">
          <cell r="B610" t="str">
            <v>77:03:0002007</v>
          </cell>
        </row>
        <row r="611">
          <cell r="B611" t="str">
            <v>77:03:0002008</v>
          </cell>
        </row>
        <row r="612">
          <cell r="B612" t="str">
            <v>77:03:0002009</v>
          </cell>
        </row>
        <row r="613">
          <cell r="B613" t="str">
            <v>77:03:0002010</v>
          </cell>
        </row>
        <row r="614">
          <cell r="B614" t="str">
            <v>77:03:0002011</v>
          </cell>
        </row>
        <row r="615">
          <cell r="B615" t="str">
            <v>77:03:0002012</v>
          </cell>
        </row>
        <row r="616">
          <cell r="B616" t="str">
            <v>77:03:0002013</v>
          </cell>
        </row>
        <row r="617">
          <cell r="B617" t="str">
            <v>77:03:0002014</v>
          </cell>
        </row>
        <row r="618">
          <cell r="B618" t="str">
            <v>77:03:0002015</v>
          </cell>
        </row>
        <row r="619">
          <cell r="B619" t="str">
            <v>77:03:0002016</v>
          </cell>
        </row>
        <row r="620">
          <cell r="B620" t="str">
            <v>77:03:0002017</v>
          </cell>
        </row>
        <row r="621">
          <cell r="B621" t="str">
            <v>77:03:0002018</v>
          </cell>
        </row>
        <row r="622">
          <cell r="B622" t="str">
            <v>77:03:0002019</v>
          </cell>
        </row>
        <row r="623">
          <cell r="B623" t="str">
            <v>77:03:0002020</v>
          </cell>
        </row>
        <row r="624">
          <cell r="B624" t="str">
            <v>77:03:0002021</v>
          </cell>
        </row>
        <row r="625">
          <cell r="B625" t="str">
            <v>77:03:0003001</v>
          </cell>
        </row>
        <row r="626">
          <cell r="B626" t="str">
            <v>77:03:0003002</v>
          </cell>
        </row>
        <row r="627">
          <cell r="B627" t="str">
            <v>77:03:0003003</v>
          </cell>
        </row>
        <row r="628">
          <cell r="B628" t="str">
            <v>77:03:0003004</v>
          </cell>
        </row>
        <row r="629">
          <cell r="B629" t="str">
            <v>77:03:0003005</v>
          </cell>
        </row>
        <row r="630">
          <cell r="B630" t="str">
            <v>77:03:0003006</v>
          </cell>
        </row>
        <row r="631">
          <cell r="B631" t="str">
            <v>77:03:0003007</v>
          </cell>
        </row>
        <row r="632">
          <cell r="B632" t="str">
            <v>77:03:0003008</v>
          </cell>
        </row>
        <row r="633">
          <cell r="B633" t="str">
            <v>77:03:0003009</v>
          </cell>
        </row>
        <row r="634">
          <cell r="B634" t="str">
            <v>77:03:0003010</v>
          </cell>
        </row>
        <row r="635">
          <cell r="B635" t="str">
            <v>77:03:0003011</v>
          </cell>
        </row>
        <row r="636">
          <cell r="B636" t="str">
            <v>77:03:0003012</v>
          </cell>
        </row>
        <row r="637">
          <cell r="B637" t="str">
            <v>77:03:0003013</v>
          </cell>
        </row>
        <row r="638">
          <cell r="B638" t="str">
            <v>77:03:0003014</v>
          </cell>
        </row>
        <row r="639">
          <cell r="B639" t="str">
            <v>77:03:0003015</v>
          </cell>
        </row>
        <row r="640">
          <cell r="B640" t="str">
            <v>77:03:0003016</v>
          </cell>
        </row>
        <row r="641">
          <cell r="B641" t="str">
            <v>77:03:0003017</v>
          </cell>
        </row>
        <row r="642">
          <cell r="B642" t="str">
            <v>77:03:0003018</v>
          </cell>
        </row>
        <row r="643">
          <cell r="B643" t="str">
            <v>77:03:0003019</v>
          </cell>
        </row>
        <row r="644">
          <cell r="B644" t="str">
            <v>77:03:0003020</v>
          </cell>
        </row>
        <row r="645">
          <cell r="B645" t="str">
            <v>77:03:0003021</v>
          </cell>
        </row>
        <row r="646">
          <cell r="B646" t="str">
            <v>77:03:0003022</v>
          </cell>
        </row>
        <row r="647">
          <cell r="B647" t="str">
            <v>77:03:0003023</v>
          </cell>
        </row>
        <row r="648">
          <cell r="B648" t="str">
            <v>77:03:0003024</v>
          </cell>
        </row>
        <row r="649">
          <cell r="B649" t="str">
            <v>77:03:0003025</v>
          </cell>
        </row>
        <row r="650">
          <cell r="B650" t="str">
            <v>77:03:0003026</v>
          </cell>
        </row>
        <row r="651">
          <cell r="B651" t="str">
            <v>77:03:0004001</v>
          </cell>
        </row>
        <row r="652">
          <cell r="B652" t="str">
            <v>77:03:0004002</v>
          </cell>
        </row>
        <row r="653">
          <cell r="B653" t="str">
            <v>77:03:0004003</v>
          </cell>
        </row>
        <row r="654">
          <cell r="B654" t="str">
            <v>77:03:0004004</v>
          </cell>
        </row>
        <row r="655">
          <cell r="B655" t="str">
            <v>77:03:0004005</v>
          </cell>
        </row>
        <row r="656">
          <cell r="B656" t="str">
            <v>77:03:0004006</v>
          </cell>
        </row>
        <row r="657">
          <cell r="B657" t="str">
            <v>77:03:0004007</v>
          </cell>
        </row>
        <row r="658">
          <cell r="B658" t="str">
            <v>77:03:0004008</v>
          </cell>
        </row>
        <row r="659">
          <cell r="B659" t="str">
            <v>77:03:0004009</v>
          </cell>
        </row>
        <row r="660">
          <cell r="B660" t="str">
            <v>77:03:0004010</v>
          </cell>
        </row>
        <row r="661">
          <cell r="B661" t="str">
            <v>77:03:0004011</v>
          </cell>
        </row>
        <row r="662">
          <cell r="B662" t="str">
            <v>77:03:0004012</v>
          </cell>
        </row>
        <row r="663">
          <cell r="B663" t="str">
            <v>77:03:0005001</v>
          </cell>
        </row>
        <row r="664">
          <cell r="B664" t="str">
            <v>77:03:0005002</v>
          </cell>
        </row>
        <row r="665">
          <cell r="B665" t="str">
            <v>77:03:0005003</v>
          </cell>
        </row>
        <row r="666">
          <cell r="B666" t="str">
            <v>77:03:0005004</v>
          </cell>
        </row>
        <row r="667">
          <cell r="B667" t="str">
            <v>77:03:0005005</v>
          </cell>
        </row>
        <row r="668">
          <cell r="B668" t="str">
            <v>77:03:0005006</v>
          </cell>
        </row>
        <row r="669">
          <cell r="B669" t="str">
            <v>77:03:0005007</v>
          </cell>
        </row>
        <row r="670">
          <cell r="B670" t="str">
            <v>77:03:0005008</v>
          </cell>
        </row>
        <row r="671">
          <cell r="B671" t="str">
            <v>77:03:0005009</v>
          </cell>
        </row>
        <row r="672">
          <cell r="B672" t="str">
            <v>77:03:0005010</v>
          </cell>
        </row>
        <row r="673">
          <cell r="B673" t="str">
            <v>77:03:0005011</v>
          </cell>
        </row>
        <row r="674">
          <cell r="B674" t="str">
            <v>77:03:0005012</v>
          </cell>
        </row>
        <row r="675">
          <cell r="B675" t="str">
            <v>77:03:0005013</v>
          </cell>
        </row>
        <row r="676">
          <cell r="B676" t="str">
            <v>77:03:0005014</v>
          </cell>
        </row>
        <row r="677">
          <cell r="B677" t="str">
            <v>77:03:0005015</v>
          </cell>
        </row>
        <row r="678">
          <cell r="B678" t="str">
            <v>77:03:0005016</v>
          </cell>
        </row>
        <row r="679">
          <cell r="B679" t="str">
            <v>77:03:0005017</v>
          </cell>
        </row>
        <row r="680">
          <cell r="B680" t="str">
            <v>77:03:0005018</v>
          </cell>
        </row>
        <row r="681">
          <cell r="B681" t="str">
            <v>77:03:0005019</v>
          </cell>
        </row>
        <row r="682">
          <cell r="B682" t="str">
            <v>77:03:0005020</v>
          </cell>
        </row>
        <row r="683">
          <cell r="B683" t="str">
            <v>77:03:0005021</v>
          </cell>
        </row>
        <row r="684">
          <cell r="B684" t="str">
            <v>77:03:0005022</v>
          </cell>
        </row>
        <row r="685">
          <cell r="B685" t="str">
            <v>77:03:0005023</v>
          </cell>
        </row>
        <row r="686">
          <cell r="B686" t="str">
            <v>77:03:0005024</v>
          </cell>
        </row>
        <row r="687">
          <cell r="B687" t="str">
            <v>77:03:0005025</v>
          </cell>
        </row>
        <row r="688">
          <cell r="B688" t="str">
            <v>77:03:0005026</v>
          </cell>
        </row>
        <row r="689">
          <cell r="B689" t="str">
            <v>77:03:0006001</v>
          </cell>
        </row>
        <row r="690">
          <cell r="B690" t="str">
            <v>77:03:0006002</v>
          </cell>
        </row>
        <row r="691">
          <cell r="B691" t="str">
            <v>77:03:0006003</v>
          </cell>
        </row>
        <row r="692">
          <cell r="B692" t="str">
            <v>77:03:0006004</v>
          </cell>
        </row>
        <row r="693">
          <cell r="B693" t="str">
            <v>77:03:0006005</v>
          </cell>
        </row>
        <row r="694">
          <cell r="B694" t="str">
            <v>77:03:0006006</v>
          </cell>
        </row>
        <row r="695">
          <cell r="B695" t="str">
            <v>77:03:0006007</v>
          </cell>
        </row>
        <row r="696">
          <cell r="B696" t="str">
            <v>77:03:0006008</v>
          </cell>
        </row>
        <row r="697">
          <cell r="B697" t="str">
            <v>77:03:0006009</v>
          </cell>
        </row>
        <row r="698">
          <cell r="B698" t="str">
            <v>77:03:0006010</v>
          </cell>
        </row>
        <row r="699">
          <cell r="B699" t="str">
            <v>77:03:0006011</v>
          </cell>
        </row>
        <row r="700">
          <cell r="B700" t="str">
            <v>77:03:0006012</v>
          </cell>
        </row>
        <row r="701">
          <cell r="B701" t="str">
            <v>77:03:0006013</v>
          </cell>
        </row>
        <row r="702">
          <cell r="B702" t="str">
            <v>77:03:0006014</v>
          </cell>
        </row>
        <row r="703">
          <cell r="B703" t="str">
            <v>77:03:0006015</v>
          </cell>
        </row>
        <row r="704">
          <cell r="B704" t="str">
            <v>77:03:0006016</v>
          </cell>
        </row>
        <row r="705">
          <cell r="B705" t="str">
            <v>77:03:0006017</v>
          </cell>
        </row>
        <row r="706">
          <cell r="B706" t="str">
            <v>77:03:0006018</v>
          </cell>
        </row>
        <row r="707">
          <cell r="B707" t="str">
            <v>77:03:0006019</v>
          </cell>
        </row>
        <row r="708">
          <cell r="B708" t="str">
            <v>77:03:0006020</v>
          </cell>
        </row>
        <row r="709">
          <cell r="B709" t="str">
            <v>77:03:0006021</v>
          </cell>
        </row>
        <row r="710">
          <cell r="B710" t="str">
            <v>77:03:0006022</v>
          </cell>
        </row>
        <row r="711">
          <cell r="B711" t="str">
            <v>77:03:0006023</v>
          </cell>
        </row>
        <row r="712">
          <cell r="B712" t="str">
            <v>77:03:0006024</v>
          </cell>
        </row>
        <row r="713">
          <cell r="B713" t="str">
            <v>77:03:0006025</v>
          </cell>
        </row>
        <row r="714">
          <cell r="B714" t="str">
            <v>77:03:0006026</v>
          </cell>
        </row>
        <row r="715">
          <cell r="B715" t="str">
            <v>77:03:0006027</v>
          </cell>
        </row>
        <row r="716">
          <cell r="B716" t="str">
            <v>77:03:0006028</v>
          </cell>
        </row>
        <row r="717">
          <cell r="B717" t="str">
            <v>77:03:0007001</v>
          </cell>
        </row>
        <row r="718">
          <cell r="B718" t="str">
            <v>77:03:0007002</v>
          </cell>
        </row>
        <row r="719">
          <cell r="B719" t="str">
            <v>77:03:0007003</v>
          </cell>
        </row>
        <row r="720">
          <cell r="B720" t="str">
            <v>77:03:0007004</v>
          </cell>
        </row>
        <row r="721">
          <cell r="B721" t="str">
            <v>77:03:0007005</v>
          </cell>
        </row>
        <row r="722">
          <cell r="B722" t="str">
            <v>77:03:0007006</v>
          </cell>
        </row>
        <row r="723">
          <cell r="B723" t="str">
            <v>77:03:0007007</v>
          </cell>
        </row>
        <row r="724">
          <cell r="B724" t="str">
            <v>77:03:0007008</v>
          </cell>
        </row>
        <row r="725">
          <cell r="B725" t="str">
            <v>77:03:0007010</v>
          </cell>
        </row>
        <row r="726">
          <cell r="B726" t="str">
            <v>77:03:0008001</v>
          </cell>
        </row>
        <row r="727">
          <cell r="B727" t="str">
            <v>77:03:0008002</v>
          </cell>
        </row>
        <row r="728">
          <cell r="B728" t="str">
            <v>77:03:0009001</v>
          </cell>
        </row>
        <row r="729">
          <cell r="B729" t="str">
            <v>77:03:0009002</v>
          </cell>
        </row>
        <row r="730">
          <cell r="B730" t="str">
            <v>77:03:0009003</v>
          </cell>
        </row>
        <row r="731">
          <cell r="B731" t="str">
            <v>77:03:0009004</v>
          </cell>
        </row>
        <row r="732">
          <cell r="B732" t="str">
            <v>77:03:0009005</v>
          </cell>
        </row>
        <row r="733">
          <cell r="B733" t="str">
            <v>77:03:0009006</v>
          </cell>
        </row>
        <row r="734">
          <cell r="B734" t="str">
            <v>77:03:0009007</v>
          </cell>
        </row>
        <row r="735">
          <cell r="B735" t="str">
            <v>77:03:0010001</v>
          </cell>
        </row>
        <row r="736">
          <cell r="B736" t="str">
            <v>77:03:0010002</v>
          </cell>
        </row>
        <row r="737">
          <cell r="B737" t="str">
            <v>77:03:0010003</v>
          </cell>
        </row>
        <row r="738">
          <cell r="B738" t="str">
            <v>77:03:0010004</v>
          </cell>
        </row>
        <row r="739">
          <cell r="B739" t="str">
            <v>77:03:0010005</v>
          </cell>
        </row>
        <row r="740">
          <cell r="B740" t="str">
            <v>77:03:0010006</v>
          </cell>
        </row>
        <row r="741">
          <cell r="B741" t="str">
            <v>77:03:0010007</v>
          </cell>
        </row>
        <row r="742">
          <cell r="B742" t="str">
            <v>77:03:0010008</v>
          </cell>
        </row>
        <row r="743">
          <cell r="B743" t="str">
            <v>77:03:0010009</v>
          </cell>
        </row>
        <row r="744">
          <cell r="B744" t="str">
            <v>77:03:0010010</v>
          </cell>
        </row>
        <row r="745">
          <cell r="B745" t="str">
            <v>77:03:0010011</v>
          </cell>
        </row>
        <row r="746">
          <cell r="B746" t="str">
            <v>77:03:0011001</v>
          </cell>
        </row>
        <row r="747">
          <cell r="B747" t="str">
            <v>77:03:0011002</v>
          </cell>
        </row>
        <row r="748">
          <cell r="B748" t="str">
            <v>77:04:0001001</v>
          </cell>
        </row>
        <row r="749">
          <cell r="B749" t="str">
            <v>77:04:0001002</v>
          </cell>
        </row>
        <row r="750">
          <cell r="B750" t="str">
            <v>77:04:0001003</v>
          </cell>
        </row>
        <row r="751">
          <cell r="B751" t="str">
            <v>77:04:0001004</v>
          </cell>
        </row>
        <row r="752">
          <cell r="B752" t="str">
            <v>77:04:0001005</v>
          </cell>
        </row>
        <row r="753">
          <cell r="B753" t="str">
            <v>77:04:0001006</v>
          </cell>
        </row>
        <row r="754">
          <cell r="B754" t="str">
            <v>77:04:0001007</v>
          </cell>
        </row>
        <row r="755">
          <cell r="B755" t="str">
            <v>77:04:0001008</v>
          </cell>
        </row>
        <row r="756">
          <cell r="B756" t="str">
            <v>77:04:0001009</v>
          </cell>
        </row>
        <row r="757">
          <cell r="B757" t="str">
            <v>77:04:0001010</v>
          </cell>
        </row>
        <row r="758">
          <cell r="B758" t="str">
            <v>77:04:0001011</v>
          </cell>
        </row>
        <row r="759">
          <cell r="B759" t="str">
            <v>77:04:0001012</v>
          </cell>
        </row>
        <row r="760">
          <cell r="B760" t="str">
            <v>77:04:0001013</v>
          </cell>
        </row>
        <row r="761">
          <cell r="B761" t="str">
            <v>77:04:0001014</v>
          </cell>
        </row>
        <row r="762">
          <cell r="B762" t="str">
            <v>77:04:0001015</v>
          </cell>
        </row>
        <row r="763">
          <cell r="B763" t="str">
            <v>77:04:0001016</v>
          </cell>
        </row>
        <row r="764">
          <cell r="B764" t="str">
            <v>77:04:0001017</v>
          </cell>
        </row>
        <row r="765">
          <cell r="B765" t="str">
            <v>77:04:0001018</v>
          </cell>
        </row>
        <row r="766">
          <cell r="B766" t="str">
            <v>77:04:0001019</v>
          </cell>
        </row>
        <row r="767">
          <cell r="B767" t="str">
            <v>77:04:0001020</v>
          </cell>
        </row>
        <row r="768">
          <cell r="B768" t="str">
            <v>77:04:0001021</v>
          </cell>
        </row>
        <row r="769">
          <cell r="B769" t="str">
            <v>77:04:0001022</v>
          </cell>
        </row>
        <row r="770">
          <cell r="B770" t="str">
            <v>77:04:0002001</v>
          </cell>
        </row>
        <row r="771">
          <cell r="B771" t="str">
            <v>77:04:0002002</v>
          </cell>
        </row>
        <row r="772">
          <cell r="B772" t="str">
            <v>77:04:0002003</v>
          </cell>
        </row>
        <row r="773">
          <cell r="B773" t="str">
            <v>77:04:0002004</v>
          </cell>
        </row>
        <row r="774">
          <cell r="B774" t="str">
            <v>77:04:0002005</v>
          </cell>
        </row>
        <row r="775">
          <cell r="B775" t="str">
            <v>77:04:0002006</v>
          </cell>
        </row>
        <row r="776">
          <cell r="B776" t="str">
            <v>77:04:0002007</v>
          </cell>
        </row>
        <row r="777">
          <cell r="B777" t="str">
            <v>77:04:0002008</v>
          </cell>
        </row>
        <row r="778">
          <cell r="B778" t="str">
            <v>77:04:0002009</v>
          </cell>
        </row>
        <row r="779">
          <cell r="B779" t="str">
            <v>77:04:0002010</v>
          </cell>
        </row>
        <row r="780">
          <cell r="B780" t="str">
            <v>77:04:0002011</v>
          </cell>
        </row>
        <row r="781">
          <cell r="B781" t="str">
            <v>77:04:0002012</v>
          </cell>
        </row>
        <row r="782">
          <cell r="B782" t="str">
            <v>77:04:0002013</v>
          </cell>
        </row>
        <row r="783">
          <cell r="B783" t="str">
            <v>77:04:0002014</v>
          </cell>
        </row>
        <row r="784">
          <cell r="B784" t="str">
            <v>77:04:0002015</v>
          </cell>
        </row>
        <row r="785">
          <cell r="B785" t="str">
            <v>77:04:0002016</v>
          </cell>
        </row>
        <row r="786">
          <cell r="B786" t="str">
            <v>77:04:0002017</v>
          </cell>
        </row>
        <row r="787">
          <cell r="B787" t="str">
            <v>77:04:0002018</v>
          </cell>
        </row>
        <row r="788">
          <cell r="B788" t="str">
            <v>77:04:0002019</v>
          </cell>
        </row>
        <row r="789">
          <cell r="B789" t="str">
            <v>77:04:0002020</v>
          </cell>
        </row>
        <row r="790">
          <cell r="B790" t="str">
            <v>77:04:0002021</v>
          </cell>
        </row>
        <row r="791">
          <cell r="B791" t="str">
            <v>77:04:0002023</v>
          </cell>
        </row>
        <row r="792">
          <cell r="B792" t="str">
            <v>77:04:0003001</v>
          </cell>
        </row>
        <row r="793">
          <cell r="B793" t="str">
            <v>77:04:0003002</v>
          </cell>
        </row>
        <row r="794">
          <cell r="B794" t="str">
            <v>77:04:0003003</v>
          </cell>
        </row>
        <row r="795">
          <cell r="B795" t="str">
            <v>77:04:0003004</v>
          </cell>
        </row>
        <row r="796">
          <cell r="B796" t="str">
            <v>77:04:0003005</v>
          </cell>
        </row>
        <row r="797">
          <cell r="B797" t="str">
            <v>77:04:0003006</v>
          </cell>
        </row>
        <row r="798">
          <cell r="B798" t="str">
            <v>77:04:0003007</v>
          </cell>
        </row>
        <row r="799">
          <cell r="B799" t="str">
            <v>77:04:0003008</v>
          </cell>
        </row>
        <row r="800">
          <cell r="B800" t="str">
            <v>77:04:0003009</v>
          </cell>
        </row>
        <row r="801">
          <cell r="B801" t="str">
            <v>77:04:0003010</v>
          </cell>
        </row>
        <row r="802">
          <cell r="B802" t="str">
            <v>77:04:0003011</v>
          </cell>
        </row>
        <row r="803">
          <cell r="B803" t="str">
            <v>77:04:0003012</v>
          </cell>
        </row>
        <row r="804">
          <cell r="B804" t="str">
            <v>77:04:0003013</v>
          </cell>
        </row>
        <row r="805">
          <cell r="B805" t="str">
            <v>77:04:0003014</v>
          </cell>
        </row>
        <row r="806">
          <cell r="B806" t="str">
            <v>77:04:0003015</v>
          </cell>
        </row>
        <row r="807">
          <cell r="B807" t="str">
            <v>77:04:0003016</v>
          </cell>
        </row>
        <row r="808">
          <cell r="B808" t="str">
            <v>77:04:0003017</v>
          </cell>
        </row>
        <row r="809">
          <cell r="B809" t="str">
            <v>77:04:0003018</v>
          </cell>
        </row>
        <row r="810">
          <cell r="B810" t="str">
            <v>77:04:0003019</v>
          </cell>
        </row>
        <row r="811">
          <cell r="B811" t="str">
            <v>77:04:0003020</v>
          </cell>
        </row>
        <row r="812">
          <cell r="B812" t="str">
            <v>77:04:0004001</v>
          </cell>
        </row>
        <row r="813">
          <cell r="B813" t="str">
            <v>77:04:0004002</v>
          </cell>
        </row>
        <row r="814">
          <cell r="B814" t="str">
            <v>77:04:0004003</v>
          </cell>
        </row>
        <row r="815">
          <cell r="B815" t="str">
            <v>77:04:0004004</v>
          </cell>
        </row>
        <row r="816">
          <cell r="B816" t="str">
            <v>77:04:0004005</v>
          </cell>
        </row>
        <row r="817">
          <cell r="B817" t="str">
            <v>77:04:0004006</v>
          </cell>
        </row>
        <row r="818">
          <cell r="B818" t="str">
            <v>77:04:0004007</v>
          </cell>
        </row>
        <row r="819">
          <cell r="B819" t="str">
            <v>77:04:0004008</v>
          </cell>
        </row>
        <row r="820">
          <cell r="B820" t="str">
            <v>77:04:0004009</v>
          </cell>
        </row>
        <row r="821">
          <cell r="B821" t="str">
            <v>77:04:0004010</v>
          </cell>
        </row>
        <row r="822">
          <cell r="B822" t="str">
            <v>77:04:0004011</v>
          </cell>
        </row>
        <row r="823">
          <cell r="B823" t="str">
            <v>77:04:0004012</v>
          </cell>
        </row>
        <row r="824">
          <cell r="B824" t="str">
            <v>77:04:0004013</v>
          </cell>
        </row>
        <row r="825">
          <cell r="B825" t="str">
            <v>77:04:0004014</v>
          </cell>
        </row>
        <row r="826">
          <cell r="B826" t="str">
            <v>77:04:0004015</v>
          </cell>
        </row>
        <row r="827">
          <cell r="B827" t="str">
            <v>77:04:0004016</v>
          </cell>
        </row>
        <row r="828">
          <cell r="B828" t="str">
            <v>77:04:0004017</v>
          </cell>
        </row>
        <row r="829">
          <cell r="B829" t="str">
            <v>77:04:0004018</v>
          </cell>
        </row>
        <row r="830">
          <cell r="B830" t="str">
            <v>77:04:0004019</v>
          </cell>
        </row>
        <row r="831">
          <cell r="B831" t="str">
            <v>77:04:0004020</v>
          </cell>
        </row>
        <row r="832">
          <cell r="B832" t="str">
            <v>77:04:0004021</v>
          </cell>
        </row>
        <row r="833">
          <cell r="B833" t="str">
            <v>77:04:0004024</v>
          </cell>
        </row>
        <row r="834">
          <cell r="B834" t="str">
            <v>77:04:0004025</v>
          </cell>
        </row>
        <row r="835">
          <cell r="B835" t="str">
            <v>77:04:0004026</v>
          </cell>
        </row>
        <row r="836">
          <cell r="B836" t="str">
            <v>77:04:0004027</v>
          </cell>
        </row>
        <row r="837">
          <cell r="B837" t="str">
            <v>77:04:0004028</v>
          </cell>
        </row>
        <row r="838">
          <cell r="B838" t="str">
            <v>77:04:0004029</v>
          </cell>
        </row>
        <row r="839">
          <cell r="B839" t="str">
            <v>77:04:0005002</v>
          </cell>
        </row>
        <row r="840">
          <cell r="B840" t="str">
            <v>77:04:0005003</v>
          </cell>
        </row>
        <row r="841">
          <cell r="B841" t="str">
            <v>77:04:0005004</v>
          </cell>
        </row>
        <row r="842">
          <cell r="B842" t="str">
            <v>77:04:0005005</v>
          </cell>
        </row>
        <row r="843">
          <cell r="B843" t="str">
            <v>77:04:0005006</v>
          </cell>
        </row>
        <row r="844">
          <cell r="B844" t="str">
            <v>77:04:0005007</v>
          </cell>
        </row>
        <row r="845">
          <cell r="B845" t="str">
            <v>77:04:0005008</v>
          </cell>
        </row>
        <row r="846">
          <cell r="B846" t="str">
            <v>77:04:0005009</v>
          </cell>
        </row>
        <row r="847">
          <cell r="B847" t="str">
            <v>77:04:0006001</v>
          </cell>
        </row>
        <row r="848">
          <cell r="B848" t="str">
            <v>77:04:0006002</v>
          </cell>
        </row>
        <row r="849">
          <cell r="B849" t="str">
            <v>77:04:0006003</v>
          </cell>
        </row>
        <row r="850">
          <cell r="B850" t="str">
            <v>77:05:0001001</v>
          </cell>
        </row>
        <row r="851">
          <cell r="B851" t="str">
            <v>77:05:0001002</v>
          </cell>
        </row>
        <row r="852">
          <cell r="B852" t="str">
            <v>77:05:0001003</v>
          </cell>
        </row>
        <row r="853">
          <cell r="B853" t="str">
            <v>77:05:0001004</v>
          </cell>
        </row>
        <row r="854">
          <cell r="B854" t="str">
            <v>77:05:0001005</v>
          </cell>
        </row>
        <row r="855">
          <cell r="B855" t="str">
            <v>77:05:0001006</v>
          </cell>
        </row>
        <row r="856">
          <cell r="B856" t="str">
            <v>77:05:0001007</v>
          </cell>
        </row>
        <row r="857">
          <cell r="B857" t="str">
            <v>77:05:0001008</v>
          </cell>
        </row>
        <row r="858">
          <cell r="B858" t="str">
            <v>77:05:0001009</v>
          </cell>
        </row>
        <row r="859">
          <cell r="B859" t="str">
            <v>77:05:0001010</v>
          </cell>
        </row>
        <row r="860">
          <cell r="B860" t="str">
            <v>77:05:0001011</v>
          </cell>
        </row>
        <row r="861">
          <cell r="B861" t="str">
            <v>77:05:0001012</v>
          </cell>
        </row>
        <row r="862">
          <cell r="B862" t="str">
            <v>77:05:0001013</v>
          </cell>
        </row>
        <row r="863">
          <cell r="B863" t="str">
            <v>77:05:0001014</v>
          </cell>
        </row>
        <row r="864">
          <cell r="B864" t="str">
            <v>77:05:0001015</v>
          </cell>
        </row>
        <row r="865">
          <cell r="B865" t="str">
            <v>77:05:0001016</v>
          </cell>
        </row>
        <row r="866">
          <cell r="B866" t="str">
            <v>77:05:0001017</v>
          </cell>
        </row>
        <row r="867">
          <cell r="B867" t="str">
            <v>77:05:0001018</v>
          </cell>
        </row>
        <row r="868">
          <cell r="B868" t="str">
            <v>77:05:0001019</v>
          </cell>
        </row>
        <row r="869">
          <cell r="B869" t="str">
            <v>77:05:0001020</v>
          </cell>
        </row>
        <row r="870">
          <cell r="B870" t="str">
            <v>77:05:0002001</v>
          </cell>
        </row>
        <row r="871">
          <cell r="B871" t="str">
            <v>77:05:0002002</v>
          </cell>
        </row>
        <row r="872">
          <cell r="B872" t="str">
            <v>77:05:0002003</v>
          </cell>
        </row>
        <row r="873">
          <cell r="B873" t="str">
            <v>77:05:0002004</v>
          </cell>
        </row>
        <row r="874">
          <cell r="B874" t="str">
            <v>77:05:0002005</v>
          </cell>
        </row>
        <row r="875">
          <cell r="B875" t="str">
            <v>77:05:0002006</v>
          </cell>
        </row>
        <row r="876">
          <cell r="B876" t="str">
            <v>77:05:0002007</v>
          </cell>
        </row>
        <row r="877">
          <cell r="B877" t="str">
            <v>77:05:0002008</v>
          </cell>
        </row>
        <row r="878">
          <cell r="B878" t="str">
            <v>77:05:0002009</v>
          </cell>
        </row>
        <row r="879">
          <cell r="B879" t="str">
            <v>77:05:0003001</v>
          </cell>
        </row>
        <row r="880">
          <cell r="B880" t="str">
            <v>77:05:0003002</v>
          </cell>
        </row>
        <row r="881">
          <cell r="B881" t="str">
            <v>77:05:0003003</v>
          </cell>
        </row>
        <row r="882">
          <cell r="B882" t="str">
            <v>77:05:0003004</v>
          </cell>
        </row>
        <row r="883">
          <cell r="B883" t="str">
            <v>77:05:0003005</v>
          </cell>
        </row>
        <row r="884">
          <cell r="B884" t="str">
            <v>77:05:0003006</v>
          </cell>
        </row>
        <row r="885">
          <cell r="B885" t="str">
            <v>77:05:0003007</v>
          </cell>
        </row>
        <row r="886">
          <cell r="B886" t="str">
            <v>77:05:0003008</v>
          </cell>
        </row>
        <row r="887">
          <cell r="B887" t="str">
            <v>77:05:0003009</v>
          </cell>
        </row>
        <row r="888">
          <cell r="B888" t="str">
            <v>77:05:0003010</v>
          </cell>
        </row>
        <row r="889">
          <cell r="B889" t="str">
            <v>77:05:0004001</v>
          </cell>
        </row>
        <row r="890">
          <cell r="B890" t="str">
            <v>77:05:0004002</v>
          </cell>
        </row>
        <row r="891">
          <cell r="B891" t="str">
            <v>77:05:0004003</v>
          </cell>
        </row>
        <row r="892">
          <cell r="B892" t="str">
            <v>77:05:0004004</v>
          </cell>
        </row>
        <row r="893">
          <cell r="B893" t="str">
            <v>77:05:0004005</v>
          </cell>
        </row>
        <row r="894">
          <cell r="B894" t="str">
            <v>77:05:0004006</v>
          </cell>
        </row>
        <row r="895">
          <cell r="B895" t="str">
            <v>77:05:0004007</v>
          </cell>
        </row>
        <row r="896">
          <cell r="B896" t="str">
            <v>77:05:0004008</v>
          </cell>
        </row>
        <row r="897">
          <cell r="B897" t="str">
            <v>77:05:0004009</v>
          </cell>
        </row>
        <row r="898">
          <cell r="B898" t="str">
            <v>77:05:0004010</v>
          </cell>
        </row>
        <row r="899">
          <cell r="B899" t="str">
            <v>77:05:0004011</v>
          </cell>
        </row>
        <row r="900">
          <cell r="B900" t="str">
            <v>77:05:0004012</v>
          </cell>
        </row>
        <row r="901">
          <cell r="B901" t="str">
            <v>77:05:0004013</v>
          </cell>
        </row>
        <row r="902">
          <cell r="B902" t="str">
            <v>77:05:0004014</v>
          </cell>
        </row>
        <row r="903">
          <cell r="B903" t="str">
            <v>77:05:0004015</v>
          </cell>
        </row>
        <row r="904">
          <cell r="B904" t="str">
            <v>77:05:0004016</v>
          </cell>
        </row>
        <row r="905">
          <cell r="B905" t="str">
            <v>77:05:0004017</v>
          </cell>
        </row>
        <row r="906">
          <cell r="B906" t="str">
            <v>77:05:0005002</v>
          </cell>
        </row>
        <row r="907">
          <cell r="B907" t="str">
            <v>77:05:0005003</v>
          </cell>
        </row>
        <row r="908">
          <cell r="B908" t="str">
            <v>77:05:0005004</v>
          </cell>
        </row>
        <row r="909">
          <cell r="B909" t="str">
            <v>77:05:0005005</v>
          </cell>
        </row>
        <row r="910">
          <cell r="B910" t="str">
            <v>77:05:0005006</v>
          </cell>
        </row>
        <row r="911">
          <cell r="B911" t="str">
            <v>77:05:0005007</v>
          </cell>
        </row>
        <row r="912">
          <cell r="B912" t="str">
            <v>77:05:0005008</v>
          </cell>
        </row>
        <row r="913">
          <cell r="B913" t="str">
            <v>77:05:0005009</v>
          </cell>
        </row>
        <row r="914">
          <cell r="B914" t="str">
            <v>77:05:0005010</v>
          </cell>
        </row>
        <row r="915">
          <cell r="B915" t="str">
            <v>77:05:0005011</v>
          </cell>
        </row>
        <row r="916">
          <cell r="B916" t="str">
            <v>77:05:0006001</v>
          </cell>
        </row>
        <row r="917">
          <cell r="B917" t="str">
            <v>77:05:0006002</v>
          </cell>
        </row>
        <row r="918">
          <cell r="B918" t="str">
            <v>77:05:0006003</v>
          </cell>
        </row>
        <row r="919">
          <cell r="B919" t="str">
            <v>77:05:0006004</v>
          </cell>
        </row>
        <row r="920">
          <cell r="B920" t="str">
            <v>77:05:0006005</v>
          </cell>
        </row>
        <row r="921">
          <cell r="B921" t="str">
            <v>77:05:0006006</v>
          </cell>
        </row>
        <row r="922">
          <cell r="B922" t="str">
            <v>77:05:0007001</v>
          </cell>
        </row>
        <row r="923">
          <cell r="B923" t="str">
            <v>77:05:0007002</v>
          </cell>
        </row>
        <row r="924">
          <cell r="B924" t="str">
            <v>77:05:0007003</v>
          </cell>
        </row>
        <row r="925">
          <cell r="B925" t="str">
            <v>77:05:0007004</v>
          </cell>
        </row>
        <row r="926">
          <cell r="B926" t="str">
            <v>77:05:0007005</v>
          </cell>
        </row>
        <row r="927">
          <cell r="B927" t="str">
            <v>77:05:0007006</v>
          </cell>
        </row>
        <row r="928">
          <cell r="B928" t="str">
            <v>77:05:0007007</v>
          </cell>
        </row>
        <row r="929">
          <cell r="B929" t="str">
            <v>77:05:0008001</v>
          </cell>
        </row>
        <row r="930">
          <cell r="B930" t="str">
            <v>77:05:0008002</v>
          </cell>
        </row>
        <row r="931">
          <cell r="B931" t="str">
            <v>77:05:0008003</v>
          </cell>
        </row>
        <row r="932">
          <cell r="B932" t="str">
            <v>77:05:0008004</v>
          </cell>
        </row>
        <row r="933">
          <cell r="B933" t="str">
            <v>77:05:0008005</v>
          </cell>
        </row>
        <row r="934">
          <cell r="B934" t="str">
            <v>77:05:0008006</v>
          </cell>
        </row>
        <row r="935">
          <cell r="B935" t="str">
            <v>77:05:0008007</v>
          </cell>
        </row>
        <row r="936">
          <cell r="B936" t="str">
            <v>77:05:0009001</v>
          </cell>
        </row>
        <row r="937">
          <cell r="B937" t="str">
            <v>77:05:0009002</v>
          </cell>
        </row>
        <row r="938">
          <cell r="B938" t="str">
            <v>77:05:0009003</v>
          </cell>
        </row>
        <row r="939">
          <cell r="B939" t="str">
            <v>77:05:0009004</v>
          </cell>
        </row>
        <row r="940">
          <cell r="B940" t="str">
            <v>77:05:0009005</v>
          </cell>
        </row>
        <row r="941">
          <cell r="B941" t="str">
            <v>77:05:0009006</v>
          </cell>
        </row>
        <row r="942">
          <cell r="B942" t="str">
            <v>77:05:0010001</v>
          </cell>
        </row>
        <row r="943">
          <cell r="B943" t="str">
            <v>77:05:0010002</v>
          </cell>
        </row>
        <row r="944">
          <cell r="B944" t="str">
            <v>77:05:0010003</v>
          </cell>
        </row>
        <row r="945">
          <cell r="B945" t="str">
            <v>77:05:0010004</v>
          </cell>
        </row>
        <row r="946">
          <cell r="B946" t="str">
            <v>77:05:0010005</v>
          </cell>
        </row>
        <row r="947">
          <cell r="B947" t="str">
            <v>77:05:0010006</v>
          </cell>
        </row>
        <row r="948">
          <cell r="B948" t="str">
            <v>77:05:0010007</v>
          </cell>
        </row>
        <row r="949">
          <cell r="B949" t="str">
            <v>77:05:0010008</v>
          </cell>
        </row>
        <row r="950">
          <cell r="B950" t="str">
            <v>77:05:0010009</v>
          </cell>
        </row>
        <row r="951">
          <cell r="B951" t="str">
            <v>77:05:0010010</v>
          </cell>
        </row>
        <row r="952">
          <cell r="B952" t="str">
            <v>77:05:0010011</v>
          </cell>
        </row>
        <row r="953">
          <cell r="B953" t="str">
            <v>77:05:0011001</v>
          </cell>
        </row>
        <row r="954">
          <cell r="B954" t="str">
            <v>77:05:0011002</v>
          </cell>
        </row>
        <row r="955">
          <cell r="B955" t="str">
            <v>77:05:0011003</v>
          </cell>
        </row>
        <row r="956">
          <cell r="B956" t="str">
            <v>77:05:0011004</v>
          </cell>
        </row>
        <row r="957">
          <cell r="B957" t="str">
            <v>77:05:0011005</v>
          </cell>
        </row>
        <row r="958">
          <cell r="B958" t="str">
            <v>77:05:0011006</v>
          </cell>
        </row>
        <row r="959">
          <cell r="B959" t="str">
            <v>77:05:0011007</v>
          </cell>
        </row>
        <row r="960">
          <cell r="B960" t="str">
            <v>77:05:0011008</v>
          </cell>
        </row>
        <row r="961">
          <cell r="B961" t="str">
            <v>77:05:0011009</v>
          </cell>
        </row>
        <row r="962">
          <cell r="B962" t="str">
            <v>77:05:0011010</v>
          </cell>
        </row>
        <row r="963">
          <cell r="B963" t="str">
            <v>77:05:0011011</v>
          </cell>
        </row>
        <row r="964">
          <cell r="B964" t="str">
            <v>77:05:0011012</v>
          </cell>
        </row>
        <row r="965">
          <cell r="B965" t="str">
            <v>77:05:0011013</v>
          </cell>
        </row>
        <row r="966">
          <cell r="B966" t="str">
            <v>77:05:0011014</v>
          </cell>
        </row>
        <row r="967">
          <cell r="B967" t="str">
            <v>77:05:0012001</v>
          </cell>
        </row>
        <row r="968">
          <cell r="B968" t="str">
            <v>77:05:0012002</v>
          </cell>
        </row>
        <row r="969">
          <cell r="B969" t="str">
            <v>77:05:0012003</v>
          </cell>
        </row>
        <row r="970">
          <cell r="B970" t="str">
            <v>77:05:0012004</v>
          </cell>
        </row>
        <row r="971">
          <cell r="B971" t="str">
            <v>77:05:0012006</v>
          </cell>
        </row>
        <row r="972">
          <cell r="B972" t="str">
            <v>77:05:0012007</v>
          </cell>
        </row>
        <row r="973">
          <cell r="B973" t="str">
            <v>77:06:0001001</v>
          </cell>
        </row>
        <row r="974">
          <cell r="B974" t="str">
            <v>77:06:0001002</v>
          </cell>
        </row>
        <row r="975">
          <cell r="B975" t="str">
            <v>77:06:0001003</v>
          </cell>
        </row>
        <row r="976">
          <cell r="B976" t="str">
            <v>77:06:0001004</v>
          </cell>
        </row>
        <row r="977">
          <cell r="B977" t="str">
            <v>77:06:0001005</v>
          </cell>
        </row>
        <row r="978">
          <cell r="B978" t="str">
            <v>77:06:0001006</v>
          </cell>
        </row>
        <row r="979">
          <cell r="B979" t="str">
            <v>77:06:0001007</v>
          </cell>
        </row>
        <row r="980">
          <cell r="B980" t="str">
            <v>77:06:0002001</v>
          </cell>
        </row>
        <row r="981">
          <cell r="B981" t="str">
            <v>77:06:0002002</v>
          </cell>
        </row>
        <row r="982">
          <cell r="B982" t="str">
            <v>77:06:0002003</v>
          </cell>
        </row>
        <row r="983">
          <cell r="B983" t="str">
            <v>77:06:0002004</v>
          </cell>
        </row>
        <row r="984">
          <cell r="B984" t="str">
            <v>77:06:0002005</v>
          </cell>
        </row>
        <row r="985">
          <cell r="B985" t="str">
            <v>77:06:0002006</v>
          </cell>
        </row>
        <row r="986">
          <cell r="B986" t="str">
            <v>77:06:0002007</v>
          </cell>
        </row>
        <row r="987">
          <cell r="B987" t="str">
            <v>77:06:0002008</v>
          </cell>
        </row>
        <row r="988">
          <cell r="B988" t="str">
            <v>77:06:0002009</v>
          </cell>
        </row>
        <row r="989">
          <cell r="B989" t="str">
            <v>77:06:0002010</v>
          </cell>
        </row>
        <row r="990">
          <cell r="B990" t="str">
            <v>77:06:0002011</v>
          </cell>
        </row>
        <row r="991">
          <cell r="B991" t="str">
            <v>77:06:0002012</v>
          </cell>
        </row>
        <row r="992">
          <cell r="B992" t="str">
            <v>77:06:0002013</v>
          </cell>
        </row>
        <row r="993">
          <cell r="B993" t="str">
            <v>77:06:0002014</v>
          </cell>
        </row>
        <row r="994">
          <cell r="B994" t="str">
            <v>77:06:0002015</v>
          </cell>
        </row>
        <row r="995">
          <cell r="B995" t="str">
            <v>77:06:0002016</v>
          </cell>
        </row>
        <row r="996">
          <cell r="B996" t="str">
            <v>77:06:0002017</v>
          </cell>
        </row>
        <row r="997">
          <cell r="B997" t="str">
            <v>77:06:0002018</v>
          </cell>
        </row>
        <row r="998">
          <cell r="B998" t="str">
            <v>77:06:0002019</v>
          </cell>
        </row>
        <row r="999">
          <cell r="B999" t="str">
            <v>77:06:0003001</v>
          </cell>
        </row>
        <row r="1000">
          <cell r="B1000" t="str">
            <v>77:06:0003002</v>
          </cell>
        </row>
        <row r="1001">
          <cell r="B1001" t="str">
            <v>77:06:0003003</v>
          </cell>
        </row>
        <row r="1002">
          <cell r="B1002" t="str">
            <v>77:06:0003004</v>
          </cell>
        </row>
        <row r="1003">
          <cell r="B1003" t="str">
            <v>77:06:0003005</v>
          </cell>
        </row>
        <row r="1004">
          <cell r="B1004" t="str">
            <v>77:06:0003006</v>
          </cell>
        </row>
        <row r="1005">
          <cell r="B1005" t="str">
            <v>77:06:0003007</v>
          </cell>
        </row>
        <row r="1006">
          <cell r="B1006" t="str">
            <v>77:06:0003008</v>
          </cell>
        </row>
        <row r="1007">
          <cell r="B1007" t="str">
            <v>77:06:0003009</v>
          </cell>
        </row>
        <row r="1008">
          <cell r="B1008" t="str">
            <v>77:06:0003010</v>
          </cell>
        </row>
        <row r="1009">
          <cell r="B1009" t="str">
            <v>77:06:0003011</v>
          </cell>
        </row>
        <row r="1010">
          <cell r="B1010" t="str">
            <v>77:06:0003012</v>
          </cell>
        </row>
        <row r="1011">
          <cell r="B1011" t="str">
            <v>77:06:0003013</v>
          </cell>
        </row>
        <row r="1012">
          <cell r="B1012" t="str">
            <v>77:06:0003014</v>
          </cell>
        </row>
        <row r="1013">
          <cell r="B1013" t="str">
            <v>77:06:0003015</v>
          </cell>
        </row>
        <row r="1014">
          <cell r="B1014" t="str">
            <v>77:06:0003016</v>
          </cell>
        </row>
        <row r="1015">
          <cell r="B1015" t="str">
            <v>77:06:0004001</v>
          </cell>
        </row>
        <row r="1016">
          <cell r="B1016" t="str">
            <v>77:06:0004002</v>
          </cell>
        </row>
        <row r="1017">
          <cell r="B1017" t="str">
            <v>77:06:0004003</v>
          </cell>
        </row>
        <row r="1018">
          <cell r="B1018" t="str">
            <v>77:06:0004004</v>
          </cell>
        </row>
        <row r="1019">
          <cell r="B1019" t="str">
            <v>77:06:0004005</v>
          </cell>
        </row>
        <row r="1020">
          <cell r="B1020" t="str">
            <v>77:06:0004006</v>
          </cell>
        </row>
        <row r="1021">
          <cell r="B1021" t="str">
            <v>77:06:0004007</v>
          </cell>
        </row>
        <row r="1022">
          <cell r="B1022" t="str">
            <v>77:06:0004008</v>
          </cell>
        </row>
        <row r="1023">
          <cell r="B1023" t="str">
            <v>77:06:0004009</v>
          </cell>
        </row>
        <row r="1024">
          <cell r="B1024" t="str">
            <v>77:06:0004010</v>
          </cell>
        </row>
        <row r="1025">
          <cell r="B1025" t="str">
            <v>77:06:0004011</v>
          </cell>
        </row>
        <row r="1026">
          <cell r="B1026" t="str">
            <v>77:06:0005001</v>
          </cell>
        </row>
        <row r="1027">
          <cell r="B1027" t="str">
            <v>77:06:0005002</v>
          </cell>
        </row>
        <row r="1028">
          <cell r="B1028" t="str">
            <v>77:06:0005003</v>
          </cell>
        </row>
        <row r="1029">
          <cell r="B1029" t="str">
            <v>77:06:0005004</v>
          </cell>
        </row>
        <row r="1030">
          <cell r="B1030" t="str">
            <v>77:06:0005005</v>
          </cell>
        </row>
        <row r="1031">
          <cell r="B1031" t="str">
            <v>77:06:0005006</v>
          </cell>
        </row>
        <row r="1032">
          <cell r="B1032" t="str">
            <v>77:06:0005007</v>
          </cell>
        </row>
        <row r="1033">
          <cell r="B1033" t="str">
            <v>77:06:0005008</v>
          </cell>
        </row>
        <row r="1034">
          <cell r="B1034" t="str">
            <v>77:06:0005009</v>
          </cell>
        </row>
        <row r="1035">
          <cell r="B1035" t="str">
            <v>77:06:0005010</v>
          </cell>
        </row>
        <row r="1036">
          <cell r="B1036" t="str">
            <v>77:06:0005011</v>
          </cell>
        </row>
        <row r="1037">
          <cell r="B1037" t="str">
            <v>77:06:0005012</v>
          </cell>
        </row>
        <row r="1038">
          <cell r="B1038" t="str">
            <v>77:06:0005013</v>
          </cell>
        </row>
        <row r="1039">
          <cell r="B1039" t="str">
            <v>77:06:0005014</v>
          </cell>
        </row>
        <row r="1040">
          <cell r="B1040" t="str">
            <v>77:06:0005015</v>
          </cell>
        </row>
        <row r="1041">
          <cell r="B1041" t="str">
            <v>77:06:0005016</v>
          </cell>
        </row>
        <row r="1042">
          <cell r="B1042" t="str">
            <v>77:06:0005017</v>
          </cell>
        </row>
        <row r="1043">
          <cell r="B1043" t="str">
            <v>77:06:0005018</v>
          </cell>
        </row>
        <row r="1044">
          <cell r="B1044" t="str">
            <v>77:06:0006001</v>
          </cell>
        </row>
        <row r="1045">
          <cell r="B1045" t="str">
            <v>77:06:0006002</v>
          </cell>
        </row>
        <row r="1046">
          <cell r="B1046" t="str">
            <v>77:06:0006003</v>
          </cell>
        </row>
        <row r="1047">
          <cell r="B1047" t="str">
            <v>77:06:0006004</v>
          </cell>
        </row>
        <row r="1048">
          <cell r="B1048" t="str">
            <v>77:06:0006005</v>
          </cell>
        </row>
        <row r="1049">
          <cell r="B1049" t="str">
            <v>77:06:0007001</v>
          </cell>
        </row>
        <row r="1050">
          <cell r="B1050" t="str">
            <v>77:06:0007002</v>
          </cell>
        </row>
        <row r="1051">
          <cell r="B1051" t="str">
            <v>77:06:0007003</v>
          </cell>
        </row>
        <row r="1052">
          <cell r="B1052" t="str">
            <v>77:06:0007004</v>
          </cell>
        </row>
        <row r="1053">
          <cell r="B1053" t="str">
            <v>77:06:0007005</v>
          </cell>
        </row>
        <row r="1054">
          <cell r="B1054" t="str">
            <v>77:06:0007006</v>
          </cell>
        </row>
        <row r="1055">
          <cell r="B1055" t="str">
            <v>77:06:0007007</v>
          </cell>
        </row>
        <row r="1056">
          <cell r="B1056" t="str">
            <v>77:06:0007008</v>
          </cell>
        </row>
        <row r="1057">
          <cell r="B1057" t="str">
            <v>77:06:0007009</v>
          </cell>
        </row>
        <row r="1058">
          <cell r="B1058" t="str">
            <v>77:06:0008001</v>
          </cell>
        </row>
        <row r="1059">
          <cell r="B1059" t="str">
            <v>77:06:0008002</v>
          </cell>
        </row>
        <row r="1060">
          <cell r="B1060" t="str">
            <v>77:06:0008003</v>
          </cell>
        </row>
        <row r="1061">
          <cell r="B1061" t="str">
            <v>77:06:0008004</v>
          </cell>
        </row>
        <row r="1062">
          <cell r="B1062" t="str">
            <v>77:06:0008005</v>
          </cell>
        </row>
        <row r="1063">
          <cell r="B1063" t="str">
            <v>77:06:0008006</v>
          </cell>
        </row>
        <row r="1064">
          <cell r="B1064" t="str">
            <v>77:06:0008007</v>
          </cell>
        </row>
        <row r="1065">
          <cell r="B1065" t="str">
            <v>77:06:0008008</v>
          </cell>
        </row>
        <row r="1066">
          <cell r="B1066" t="str">
            <v>77:06:0008009</v>
          </cell>
        </row>
        <row r="1067">
          <cell r="B1067" t="str">
            <v>77:06:0008010</v>
          </cell>
        </row>
        <row r="1068">
          <cell r="B1068" t="str">
            <v>77:06:0008011</v>
          </cell>
        </row>
        <row r="1069">
          <cell r="B1069" t="str">
            <v>77:06:0009001</v>
          </cell>
        </row>
        <row r="1070">
          <cell r="B1070" t="str">
            <v>77:06:0009002</v>
          </cell>
        </row>
        <row r="1071">
          <cell r="B1071" t="str">
            <v>77:06:0009003</v>
          </cell>
        </row>
        <row r="1072">
          <cell r="B1072" t="str">
            <v>77:06:0009004</v>
          </cell>
        </row>
        <row r="1073">
          <cell r="B1073" t="str">
            <v>77:06:0009005</v>
          </cell>
        </row>
        <row r="1074">
          <cell r="B1074" t="str">
            <v>77:06:0009006</v>
          </cell>
        </row>
        <row r="1075">
          <cell r="B1075" t="str">
            <v>77:06:0009007</v>
          </cell>
        </row>
        <row r="1076">
          <cell r="B1076" t="str">
            <v>77:06:0009008</v>
          </cell>
        </row>
        <row r="1077">
          <cell r="B1077" t="str">
            <v>77:06:0009009</v>
          </cell>
        </row>
        <row r="1078">
          <cell r="B1078" t="str">
            <v>77:06:0009010</v>
          </cell>
        </row>
        <row r="1079">
          <cell r="B1079" t="str">
            <v>77:06:0009011</v>
          </cell>
        </row>
        <row r="1080">
          <cell r="B1080" t="str">
            <v>77:06:0010001</v>
          </cell>
        </row>
        <row r="1081">
          <cell r="B1081" t="str">
            <v>77:06:0011001</v>
          </cell>
        </row>
        <row r="1082">
          <cell r="B1082" t="str">
            <v>77:06:0011002</v>
          </cell>
        </row>
        <row r="1083">
          <cell r="B1083" t="str">
            <v>77:06:0011003</v>
          </cell>
        </row>
        <row r="1084">
          <cell r="B1084" t="str">
            <v>77:06:0011004</v>
          </cell>
        </row>
        <row r="1085">
          <cell r="B1085" t="str">
            <v>77:06:0011005</v>
          </cell>
        </row>
        <row r="1086">
          <cell r="B1086" t="str">
            <v>77:06:0011006</v>
          </cell>
        </row>
        <row r="1087">
          <cell r="B1087" t="str">
            <v>77:06:0011007</v>
          </cell>
        </row>
        <row r="1088">
          <cell r="B1088" t="str">
            <v>77:06:0011008</v>
          </cell>
        </row>
        <row r="1089">
          <cell r="B1089" t="str">
            <v>77:06:0011009</v>
          </cell>
        </row>
        <row r="1090">
          <cell r="B1090" t="str">
            <v>77:06:0011010</v>
          </cell>
        </row>
        <row r="1091">
          <cell r="B1091" t="str">
            <v>77:06:0011011</v>
          </cell>
        </row>
        <row r="1092">
          <cell r="B1092" t="str">
            <v>77:06:0011012</v>
          </cell>
        </row>
        <row r="1093">
          <cell r="B1093" t="str">
            <v>77:06:0012001</v>
          </cell>
        </row>
        <row r="1094">
          <cell r="B1094" t="str">
            <v>77:06:0012002</v>
          </cell>
        </row>
        <row r="1095">
          <cell r="B1095" t="str">
            <v>77:06:0012003</v>
          </cell>
        </row>
        <row r="1096">
          <cell r="B1096" t="str">
            <v>77:06:0012004</v>
          </cell>
        </row>
        <row r="1097">
          <cell r="B1097" t="str">
            <v>77:06:0012005</v>
          </cell>
        </row>
        <row r="1098">
          <cell r="B1098" t="str">
            <v>77:06:0012006</v>
          </cell>
        </row>
        <row r="1099">
          <cell r="B1099" t="str">
            <v>77:06:0012007</v>
          </cell>
        </row>
        <row r="1100">
          <cell r="B1100" t="str">
            <v>77:06:0012008</v>
          </cell>
        </row>
        <row r="1101">
          <cell r="B1101" t="str">
            <v>77:06:0012009</v>
          </cell>
        </row>
        <row r="1102">
          <cell r="B1102" t="str">
            <v>77:06:0012010</v>
          </cell>
        </row>
        <row r="1103">
          <cell r="B1103" t="str">
            <v>77:06:0012011</v>
          </cell>
        </row>
        <row r="1104">
          <cell r="B1104" t="str">
            <v>77:06:0012012</v>
          </cell>
        </row>
        <row r="1105">
          <cell r="B1105" t="str">
            <v>77:06:0012013</v>
          </cell>
        </row>
        <row r="1106">
          <cell r="B1106" t="str">
            <v>77:06:0012014</v>
          </cell>
        </row>
        <row r="1107">
          <cell r="B1107" t="str">
            <v>77:06:0012015</v>
          </cell>
        </row>
        <row r="1108">
          <cell r="B1108" t="str">
            <v>77:06:0012016</v>
          </cell>
        </row>
        <row r="1109">
          <cell r="B1109" t="str">
            <v>77:06:0012017</v>
          </cell>
        </row>
        <row r="1110">
          <cell r="B1110" t="str">
            <v>77:06:0012018</v>
          </cell>
        </row>
        <row r="1111">
          <cell r="B1111" t="str">
            <v>77:06:0012019</v>
          </cell>
        </row>
        <row r="1112">
          <cell r="B1112" t="str">
            <v>77:06:0012020</v>
          </cell>
        </row>
        <row r="1113">
          <cell r="B1113" t="str">
            <v>77:07:0001001</v>
          </cell>
        </row>
        <row r="1114">
          <cell r="B1114" t="str">
            <v>77:07:0001002</v>
          </cell>
        </row>
        <row r="1115">
          <cell r="B1115" t="str">
            <v>77:07:0001003</v>
          </cell>
        </row>
        <row r="1116">
          <cell r="B1116" t="str">
            <v>77:07:0001004</v>
          </cell>
        </row>
        <row r="1117">
          <cell r="B1117" t="str">
            <v>77:07:0002001</v>
          </cell>
        </row>
        <row r="1118">
          <cell r="B1118" t="str">
            <v>77:07:0002002</v>
          </cell>
        </row>
        <row r="1119">
          <cell r="B1119" t="str">
            <v>77:07:0002003</v>
          </cell>
        </row>
        <row r="1120">
          <cell r="B1120" t="str">
            <v>77:07:0002004</v>
          </cell>
        </row>
        <row r="1121">
          <cell r="B1121" t="str">
            <v>77:07:0003001</v>
          </cell>
        </row>
        <row r="1122">
          <cell r="B1122" t="str">
            <v>77:07:0003002</v>
          </cell>
        </row>
        <row r="1123">
          <cell r="B1123" t="str">
            <v>77:07:0003003</v>
          </cell>
        </row>
        <row r="1124">
          <cell r="B1124" t="str">
            <v>77:07:0004001</v>
          </cell>
        </row>
        <row r="1125">
          <cell r="B1125" t="str">
            <v>77:07:0004002</v>
          </cell>
        </row>
        <row r="1126">
          <cell r="B1126" t="str">
            <v>77:07:0004003</v>
          </cell>
        </row>
        <row r="1127">
          <cell r="B1127" t="str">
            <v>77:07:0004004</v>
          </cell>
        </row>
        <row r="1128">
          <cell r="B1128" t="str">
            <v>77:07:0004005</v>
          </cell>
        </row>
        <row r="1129">
          <cell r="B1129" t="str">
            <v>77:07:0004006</v>
          </cell>
        </row>
        <row r="1130">
          <cell r="B1130" t="str">
            <v>77:07:0004007</v>
          </cell>
        </row>
        <row r="1131">
          <cell r="B1131" t="str">
            <v>77:07:0004008</v>
          </cell>
        </row>
        <row r="1132">
          <cell r="B1132" t="str">
            <v>77:07:0004009</v>
          </cell>
        </row>
        <row r="1133">
          <cell r="B1133" t="str">
            <v>77:07:0004010</v>
          </cell>
        </row>
        <row r="1134">
          <cell r="B1134" t="str">
            <v>77:07:0005001</v>
          </cell>
        </row>
        <row r="1135">
          <cell r="B1135" t="str">
            <v>77:07:0005002</v>
          </cell>
        </row>
        <row r="1136">
          <cell r="B1136" t="str">
            <v>77:07:0005003</v>
          </cell>
        </row>
        <row r="1137">
          <cell r="B1137" t="str">
            <v>77:07:0005004</v>
          </cell>
        </row>
        <row r="1138">
          <cell r="B1138" t="str">
            <v>77:07:0005005</v>
          </cell>
        </row>
        <row r="1139">
          <cell r="B1139" t="str">
            <v>77:07:0005006</v>
          </cell>
        </row>
        <row r="1140">
          <cell r="B1140" t="str">
            <v>77:07:0005007</v>
          </cell>
        </row>
        <row r="1141">
          <cell r="B1141" t="str">
            <v>77:07:0005008</v>
          </cell>
        </row>
        <row r="1142">
          <cell r="B1142" t="str">
            <v>77:07:0005009</v>
          </cell>
        </row>
        <row r="1143">
          <cell r="B1143" t="str">
            <v>77:07:0005010</v>
          </cell>
        </row>
        <row r="1144">
          <cell r="B1144" t="str">
            <v>77:07:0005011</v>
          </cell>
        </row>
        <row r="1145">
          <cell r="B1145" t="str">
            <v>77:07:0006001</v>
          </cell>
        </row>
        <row r="1146">
          <cell r="B1146" t="str">
            <v>77:07:0006002</v>
          </cell>
        </row>
        <row r="1147">
          <cell r="B1147" t="str">
            <v>77:07:0006003</v>
          </cell>
        </row>
        <row r="1148">
          <cell r="B1148" t="str">
            <v>77:07:0006004</v>
          </cell>
        </row>
        <row r="1149">
          <cell r="B1149" t="str">
            <v>77:07:0006005</v>
          </cell>
        </row>
        <row r="1150">
          <cell r="B1150" t="str">
            <v>77:07:0006006</v>
          </cell>
        </row>
        <row r="1151">
          <cell r="B1151" t="str">
            <v>77:07:0006007</v>
          </cell>
        </row>
        <row r="1152">
          <cell r="B1152" t="str">
            <v>77:07:0007001</v>
          </cell>
        </row>
        <row r="1153">
          <cell r="B1153" t="str">
            <v>77:07:0007002</v>
          </cell>
        </row>
        <row r="1154">
          <cell r="B1154" t="str">
            <v>77:07:0007003</v>
          </cell>
        </row>
        <row r="1155">
          <cell r="B1155" t="str">
            <v>77:07:0007004</v>
          </cell>
        </row>
        <row r="1156">
          <cell r="B1156" t="str">
            <v>77:07:0007005</v>
          </cell>
        </row>
        <row r="1157">
          <cell r="B1157" t="str">
            <v>77:07:0007006</v>
          </cell>
        </row>
        <row r="1158">
          <cell r="B1158" t="str">
            <v>77:07:0007007</v>
          </cell>
        </row>
        <row r="1159">
          <cell r="B1159" t="str">
            <v>77:07:0008001</v>
          </cell>
        </row>
        <row r="1160">
          <cell r="B1160" t="str">
            <v>77:07:0008002</v>
          </cell>
        </row>
        <row r="1161">
          <cell r="B1161" t="str">
            <v>77:07:0008003</v>
          </cell>
        </row>
        <row r="1162">
          <cell r="B1162" t="str">
            <v>77:07:0008004</v>
          </cell>
        </row>
        <row r="1163">
          <cell r="B1163" t="str">
            <v>77:07:0008005</v>
          </cell>
        </row>
        <row r="1164">
          <cell r="B1164" t="str">
            <v>77:07:0008006</v>
          </cell>
        </row>
        <row r="1165">
          <cell r="B1165" t="str">
            <v>77:07:0008007</v>
          </cell>
        </row>
        <row r="1166">
          <cell r="B1166" t="str">
            <v>77:07:0009001</v>
          </cell>
        </row>
        <row r="1167">
          <cell r="B1167" t="str">
            <v>77:07:0009002</v>
          </cell>
        </row>
        <row r="1168">
          <cell r="B1168" t="str">
            <v>77:07:0009003</v>
          </cell>
        </row>
        <row r="1169">
          <cell r="B1169" t="str">
            <v>77:07:0009004</v>
          </cell>
        </row>
        <row r="1170">
          <cell r="B1170" t="str">
            <v>77:07:0009005</v>
          </cell>
        </row>
        <row r="1171">
          <cell r="B1171" t="str">
            <v>77:07:0009006</v>
          </cell>
        </row>
        <row r="1172">
          <cell r="B1172" t="str">
            <v>77:07:0009007</v>
          </cell>
        </row>
        <row r="1173">
          <cell r="B1173" t="str">
            <v>77:07:0010001</v>
          </cell>
        </row>
        <row r="1174">
          <cell r="B1174" t="str">
            <v>77:07:0010002</v>
          </cell>
        </row>
        <row r="1175">
          <cell r="B1175" t="str">
            <v>77:07:0010003</v>
          </cell>
        </row>
        <row r="1176">
          <cell r="B1176" t="str">
            <v>77:07:0010004</v>
          </cell>
        </row>
        <row r="1177">
          <cell r="B1177" t="str">
            <v>77:07:0010005</v>
          </cell>
        </row>
        <row r="1178">
          <cell r="B1178" t="str">
            <v>77:07:0010006</v>
          </cell>
        </row>
        <row r="1179">
          <cell r="B1179" t="str">
            <v>77:07:0010007</v>
          </cell>
        </row>
        <row r="1180">
          <cell r="B1180" t="str">
            <v>77:07:0012001</v>
          </cell>
        </row>
        <row r="1181">
          <cell r="B1181" t="str">
            <v>77:07:0012002</v>
          </cell>
        </row>
        <row r="1182">
          <cell r="B1182" t="str">
            <v>77:07:0012003</v>
          </cell>
        </row>
        <row r="1183">
          <cell r="B1183" t="str">
            <v>77:07:0012004</v>
          </cell>
        </row>
        <row r="1184">
          <cell r="B1184" t="str">
            <v>77:07:0012005</v>
          </cell>
        </row>
        <row r="1185">
          <cell r="B1185" t="str">
            <v>77:07:0012006</v>
          </cell>
        </row>
        <row r="1186">
          <cell r="B1186" t="str">
            <v>77:07:0012007</v>
          </cell>
        </row>
        <row r="1187">
          <cell r="B1187" t="str">
            <v>77:07:0012008</v>
          </cell>
        </row>
        <row r="1188">
          <cell r="B1188" t="str">
            <v>77:07:0012009</v>
          </cell>
        </row>
        <row r="1189">
          <cell r="B1189" t="str">
            <v>77:07:0012010</v>
          </cell>
        </row>
        <row r="1190">
          <cell r="B1190" t="str">
            <v>77:07:0012011</v>
          </cell>
        </row>
        <row r="1191">
          <cell r="B1191" t="str">
            <v>77:07:0012012</v>
          </cell>
        </row>
        <row r="1192">
          <cell r="B1192" t="str">
            <v>77:07:0013001</v>
          </cell>
        </row>
        <row r="1193">
          <cell r="B1193" t="str">
            <v>77:07:0013002</v>
          </cell>
        </row>
        <row r="1194">
          <cell r="B1194" t="str">
            <v>77:07:0013003</v>
          </cell>
        </row>
        <row r="1195">
          <cell r="B1195" t="str">
            <v>77:07:0013004</v>
          </cell>
        </row>
        <row r="1196">
          <cell r="B1196" t="str">
            <v>77:07:0013005</v>
          </cell>
        </row>
        <row r="1197">
          <cell r="B1197" t="str">
            <v>77:07:0013006</v>
          </cell>
        </row>
        <row r="1198">
          <cell r="B1198" t="str">
            <v>77:07:0013007</v>
          </cell>
        </row>
        <row r="1199">
          <cell r="B1199" t="str">
            <v>77:07:0014001</v>
          </cell>
        </row>
        <row r="1200">
          <cell r="B1200" t="str">
            <v>77:07:0014002</v>
          </cell>
        </row>
        <row r="1201">
          <cell r="B1201" t="str">
            <v>77:07:0014003</v>
          </cell>
        </row>
        <row r="1202">
          <cell r="B1202" t="str">
            <v>77:07:0014004</v>
          </cell>
        </row>
        <row r="1203">
          <cell r="B1203" t="str">
            <v>77:07:0014005</v>
          </cell>
        </row>
        <row r="1204">
          <cell r="B1204" t="str">
            <v>77:07:0014006</v>
          </cell>
        </row>
        <row r="1205">
          <cell r="B1205" t="str">
            <v>77:07:0014007</v>
          </cell>
        </row>
        <row r="1206">
          <cell r="B1206" t="str">
            <v>77:07:0014008</v>
          </cell>
        </row>
        <row r="1207">
          <cell r="B1207" t="str">
            <v>77:07:0014009</v>
          </cell>
        </row>
        <row r="1208">
          <cell r="B1208" t="str">
            <v>77:07:0014010</v>
          </cell>
        </row>
        <row r="1209">
          <cell r="B1209" t="str">
            <v>77:07:0015001</v>
          </cell>
        </row>
        <row r="1210">
          <cell r="B1210" t="str">
            <v>77:07:0015002</v>
          </cell>
        </row>
        <row r="1211">
          <cell r="B1211" t="str">
            <v>77:07:0015003</v>
          </cell>
        </row>
        <row r="1212">
          <cell r="B1212" t="str">
            <v>77:07:0015004</v>
          </cell>
        </row>
        <row r="1213">
          <cell r="B1213" t="str">
            <v>77:07:0015005</v>
          </cell>
        </row>
        <row r="1214">
          <cell r="B1214" t="str">
            <v>77:07:0015006</v>
          </cell>
        </row>
        <row r="1215">
          <cell r="B1215" t="str">
            <v>77:07:0015007</v>
          </cell>
        </row>
        <row r="1216">
          <cell r="B1216" t="str">
            <v>77:07:0015008</v>
          </cell>
        </row>
        <row r="1217">
          <cell r="B1217" t="str">
            <v>77:07:0015009</v>
          </cell>
        </row>
        <row r="1218">
          <cell r="B1218" t="str">
            <v>77:07:0015010</v>
          </cell>
        </row>
        <row r="1219">
          <cell r="B1219" t="str">
            <v>77:07:0016001</v>
          </cell>
        </row>
        <row r="1220">
          <cell r="B1220" t="str">
            <v>77:07:0016002</v>
          </cell>
        </row>
        <row r="1221">
          <cell r="B1221" t="str">
            <v>77:07:0016003</v>
          </cell>
        </row>
        <row r="1222">
          <cell r="B1222" t="str">
            <v>77:07:0016004</v>
          </cell>
        </row>
        <row r="1223">
          <cell r="B1223" t="str">
            <v>77:07:0016005</v>
          </cell>
        </row>
        <row r="1224">
          <cell r="B1224" t="str">
            <v>77:07:0017001</v>
          </cell>
        </row>
        <row r="1225">
          <cell r="B1225" t="str">
            <v>77:07:0017002</v>
          </cell>
        </row>
        <row r="1226">
          <cell r="B1226" t="str">
            <v>77:07:0017003</v>
          </cell>
        </row>
        <row r="1227">
          <cell r="B1227" t="str">
            <v>77:07:0018001</v>
          </cell>
        </row>
        <row r="1228">
          <cell r="B1228" t="str">
            <v>77:07:0018002</v>
          </cell>
        </row>
        <row r="1229">
          <cell r="B1229" t="str">
            <v>77:07:0018003</v>
          </cell>
        </row>
        <row r="1230">
          <cell r="B1230" t="str">
            <v>77:07:0019001</v>
          </cell>
        </row>
        <row r="1231">
          <cell r="B1231" t="str">
            <v>77:08:0001002</v>
          </cell>
        </row>
        <row r="1232">
          <cell r="B1232" t="str">
            <v>77:08:0001003</v>
          </cell>
        </row>
        <row r="1233">
          <cell r="B1233" t="str">
            <v>77:08:0001005</v>
          </cell>
        </row>
        <row r="1234">
          <cell r="B1234" t="str">
            <v>77:08:0001006</v>
          </cell>
        </row>
        <row r="1235">
          <cell r="B1235" t="str">
            <v>77:08:0001007</v>
          </cell>
        </row>
        <row r="1236">
          <cell r="B1236" t="str">
            <v>77:08:0001008</v>
          </cell>
        </row>
        <row r="1237">
          <cell r="B1237" t="str">
            <v>77:08:0001009</v>
          </cell>
        </row>
        <row r="1238">
          <cell r="B1238" t="str">
            <v>77:08:0001010</v>
          </cell>
        </row>
        <row r="1239">
          <cell r="B1239" t="str">
            <v>77:08:0001011</v>
          </cell>
        </row>
        <row r="1240">
          <cell r="B1240" t="str">
            <v>77:08:0001012</v>
          </cell>
        </row>
        <row r="1241">
          <cell r="B1241" t="str">
            <v>77:08:0001013</v>
          </cell>
        </row>
        <row r="1242">
          <cell r="B1242" t="str">
            <v>77:08:0001014</v>
          </cell>
        </row>
        <row r="1243">
          <cell r="B1243" t="str">
            <v>77:08:0001015</v>
          </cell>
        </row>
        <row r="1244">
          <cell r="B1244" t="str">
            <v>77:08:0002002</v>
          </cell>
        </row>
        <row r="1245">
          <cell r="B1245" t="str">
            <v>77:08:0002003</v>
          </cell>
        </row>
        <row r="1246">
          <cell r="B1246" t="str">
            <v>77:08:0002004</v>
          </cell>
        </row>
        <row r="1247">
          <cell r="B1247" t="str">
            <v>77:08:0002005</v>
          </cell>
        </row>
        <row r="1248">
          <cell r="B1248" t="str">
            <v>77:08:0002006</v>
          </cell>
        </row>
        <row r="1249">
          <cell r="B1249" t="str">
            <v>77:08:0002007</v>
          </cell>
        </row>
        <row r="1250">
          <cell r="B1250" t="str">
            <v>77:08:0002008</v>
          </cell>
        </row>
        <row r="1251">
          <cell r="B1251" t="str">
            <v>77:08:0002009</v>
          </cell>
        </row>
        <row r="1252">
          <cell r="B1252" t="str">
            <v>77:08:0002010</v>
          </cell>
        </row>
        <row r="1253">
          <cell r="B1253" t="str">
            <v>77:08:0002012</v>
          </cell>
        </row>
        <row r="1254">
          <cell r="B1254" t="str">
            <v>77:08:0002013</v>
          </cell>
        </row>
        <row r="1255">
          <cell r="B1255" t="str">
            <v>77:08:0002014</v>
          </cell>
        </row>
        <row r="1256">
          <cell r="B1256" t="str">
            <v>77:08:0002015</v>
          </cell>
        </row>
        <row r="1257">
          <cell r="B1257" t="str">
            <v>77:08:0002016</v>
          </cell>
        </row>
        <row r="1258">
          <cell r="B1258" t="str">
            <v>77:08:0002017</v>
          </cell>
        </row>
        <row r="1259">
          <cell r="B1259" t="str">
            <v>77:08:0002018</v>
          </cell>
        </row>
        <row r="1260">
          <cell r="B1260" t="str">
            <v>77:08:0002019</v>
          </cell>
        </row>
        <row r="1261">
          <cell r="B1261" t="str">
            <v>77:08:0002020</v>
          </cell>
        </row>
        <row r="1262">
          <cell r="B1262" t="str">
            <v>77:08:0002021</v>
          </cell>
        </row>
        <row r="1263">
          <cell r="B1263" t="str">
            <v>77:08:0002022</v>
          </cell>
        </row>
        <row r="1264">
          <cell r="B1264" t="str">
            <v>77:08:0002023</v>
          </cell>
        </row>
        <row r="1265">
          <cell r="B1265" t="str">
            <v>77:08:0003001</v>
          </cell>
        </row>
        <row r="1266">
          <cell r="B1266" t="str">
            <v>77:08:0003002</v>
          </cell>
        </row>
        <row r="1267">
          <cell r="B1267" t="str">
            <v>77:08:0003003</v>
          </cell>
        </row>
        <row r="1268">
          <cell r="B1268" t="str">
            <v>77:08:0003004</v>
          </cell>
        </row>
        <row r="1269">
          <cell r="B1269" t="str">
            <v>77:08:0003005</v>
          </cell>
        </row>
        <row r="1270">
          <cell r="B1270" t="str">
            <v>77:08:0003006</v>
          </cell>
        </row>
        <row r="1271">
          <cell r="B1271" t="str">
            <v>77:08:0003007</v>
          </cell>
        </row>
        <row r="1272">
          <cell r="B1272" t="str">
            <v>77:08:0003008</v>
          </cell>
        </row>
        <row r="1273">
          <cell r="B1273" t="str">
            <v>77:08:0003009</v>
          </cell>
        </row>
        <row r="1274">
          <cell r="B1274" t="str">
            <v>77:08:0004001</v>
          </cell>
        </row>
        <row r="1275">
          <cell r="B1275" t="str">
            <v>77:08:0004002</v>
          </cell>
        </row>
        <row r="1276">
          <cell r="B1276" t="str">
            <v>77:08:0004003</v>
          </cell>
        </row>
        <row r="1277">
          <cell r="B1277" t="str">
            <v>77:08:0004004</v>
          </cell>
        </row>
        <row r="1278">
          <cell r="B1278" t="str">
            <v>77:08:0004005</v>
          </cell>
        </row>
        <row r="1279">
          <cell r="B1279" t="str">
            <v>77:08:0004006</v>
          </cell>
        </row>
        <row r="1280">
          <cell r="B1280" t="str">
            <v>77:08:0004007</v>
          </cell>
        </row>
        <row r="1281">
          <cell r="B1281" t="str">
            <v>77:08:0004008</v>
          </cell>
        </row>
        <row r="1282">
          <cell r="B1282" t="str">
            <v>77:08:0004009</v>
          </cell>
        </row>
        <row r="1283">
          <cell r="B1283" t="str">
            <v>77:08:0004010</v>
          </cell>
        </row>
        <row r="1284">
          <cell r="B1284" t="str">
            <v>77:08:0004011</v>
          </cell>
        </row>
        <row r="1285">
          <cell r="B1285" t="str">
            <v>77:08:0004012</v>
          </cell>
        </row>
        <row r="1286">
          <cell r="B1286" t="str">
            <v>77:08:0004013</v>
          </cell>
        </row>
        <row r="1287">
          <cell r="B1287" t="str">
            <v>77:08:0004014</v>
          </cell>
        </row>
        <row r="1288">
          <cell r="B1288" t="str">
            <v>77:08:0004015</v>
          </cell>
        </row>
        <row r="1289">
          <cell r="B1289" t="str">
            <v>77:08:0004016</v>
          </cell>
        </row>
        <row r="1290">
          <cell r="B1290" t="str">
            <v>77:08:0004017</v>
          </cell>
        </row>
        <row r="1291">
          <cell r="B1291" t="str">
            <v>77:08:0005001</v>
          </cell>
        </row>
        <row r="1292">
          <cell r="B1292" t="str">
            <v>77:08:0005002</v>
          </cell>
        </row>
        <row r="1293">
          <cell r="B1293" t="str">
            <v>77:08:0005003</v>
          </cell>
        </row>
        <row r="1294">
          <cell r="B1294" t="str">
            <v>77:08:0005004</v>
          </cell>
        </row>
        <row r="1295">
          <cell r="B1295" t="str">
            <v>77:08:0005005</v>
          </cell>
        </row>
        <row r="1296">
          <cell r="B1296" t="str">
            <v>77:08:0005006</v>
          </cell>
        </row>
        <row r="1297">
          <cell r="B1297" t="str">
            <v>77:08:0005007</v>
          </cell>
        </row>
        <row r="1298">
          <cell r="B1298" t="str">
            <v>77:08:0005008</v>
          </cell>
        </row>
        <row r="1299">
          <cell r="B1299" t="str">
            <v>77:08:0005009</v>
          </cell>
        </row>
        <row r="1300">
          <cell r="B1300" t="str">
            <v>77:08:0005010</v>
          </cell>
        </row>
        <row r="1301">
          <cell r="B1301" t="str">
            <v>77:08:0005011</v>
          </cell>
        </row>
        <row r="1302">
          <cell r="B1302" t="str">
            <v>77:08:0006001</v>
          </cell>
        </row>
        <row r="1303">
          <cell r="B1303" t="str">
            <v>77:08:0006002</v>
          </cell>
        </row>
        <row r="1304">
          <cell r="B1304" t="str">
            <v>77:08:0006003</v>
          </cell>
        </row>
        <row r="1305">
          <cell r="B1305" t="str">
            <v>77:08:0006004</v>
          </cell>
        </row>
        <row r="1306">
          <cell r="B1306" t="str">
            <v>77:08:0006005</v>
          </cell>
        </row>
        <row r="1307">
          <cell r="B1307" t="str">
            <v>77:08:0006006</v>
          </cell>
        </row>
        <row r="1308">
          <cell r="B1308" t="str">
            <v>77:08:0006007</v>
          </cell>
        </row>
        <row r="1309">
          <cell r="B1309" t="str">
            <v>77:08:0006008</v>
          </cell>
        </row>
        <row r="1310">
          <cell r="B1310" t="str">
            <v>77:08:0006009</v>
          </cell>
        </row>
        <row r="1311">
          <cell r="B1311" t="str">
            <v>77:08:0006010</v>
          </cell>
        </row>
        <row r="1312">
          <cell r="B1312" t="str">
            <v>77:08:0006011</v>
          </cell>
        </row>
        <row r="1313">
          <cell r="B1313" t="str">
            <v>77:08:0006012</v>
          </cell>
        </row>
        <row r="1314">
          <cell r="B1314" t="str">
            <v>77:08:0006013</v>
          </cell>
        </row>
        <row r="1315">
          <cell r="B1315" t="str">
            <v>77:08:0006014</v>
          </cell>
        </row>
        <row r="1316">
          <cell r="B1316" t="str">
            <v>77:08:0006015</v>
          </cell>
        </row>
        <row r="1317">
          <cell r="B1317" t="str">
            <v>77:08:0007001</v>
          </cell>
        </row>
        <row r="1318">
          <cell r="B1318" t="str">
            <v>77:08:0007002</v>
          </cell>
        </row>
        <row r="1319">
          <cell r="B1319" t="str">
            <v>77:08:0007003</v>
          </cell>
        </row>
        <row r="1320">
          <cell r="B1320" t="str">
            <v>77:08:0007004</v>
          </cell>
        </row>
        <row r="1321">
          <cell r="B1321" t="str">
            <v>77:08:0007005</v>
          </cell>
        </row>
        <row r="1322">
          <cell r="B1322" t="str">
            <v>77:08:0007006</v>
          </cell>
        </row>
        <row r="1323">
          <cell r="B1323" t="str">
            <v>77:08:0007007</v>
          </cell>
        </row>
        <row r="1324">
          <cell r="B1324" t="str">
            <v>77:08:0007008</v>
          </cell>
        </row>
        <row r="1325">
          <cell r="B1325" t="str">
            <v>77:08:0007009</v>
          </cell>
        </row>
        <row r="1326">
          <cell r="B1326" t="str">
            <v>77:08:0007010</v>
          </cell>
        </row>
        <row r="1327">
          <cell r="B1327" t="str">
            <v>77:08:0008001</v>
          </cell>
        </row>
        <row r="1328">
          <cell r="B1328" t="str">
            <v>77:08:0008002</v>
          </cell>
        </row>
        <row r="1329">
          <cell r="B1329" t="str">
            <v>77:08:0008003</v>
          </cell>
        </row>
        <row r="1330">
          <cell r="B1330" t="str">
            <v>77:08:0008004</v>
          </cell>
        </row>
        <row r="1331">
          <cell r="B1331" t="str">
            <v>77:08:0008005</v>
          </cell>
        </row>
        <row r="1332">
          <cell r="B1332" t="str">
            <v>77:08:0008006</v>
          </cell>
        </row>
        <row r="1333">
          <cell r="B1333" t="str">
            <v>77:08:0008007</v>
          </cell>
        </row>
        <row r="1334">
          <cell r="B1334" t="str">
            <v>77:08:0008008</v>
          </cell>
        </row>
        <row r="1335">
          <cell r="B1335" t="str">
            <v>77:08:0008009</v>
          </cell>
        </row>
        <row r="1336">
          <cell r="B1336" t="str">
            <v>77:08:0008010</v>
          </cell>
        </row>
        <row r="1337">
          <cell r="B1337" t="str">
            <v>77:08:0008011</v>
          </cell>
        </row>
        <row r="1338">
          <cell r="B1338" t="str">
            <v>77:08:0008012</v>
          </cell>
        </row>
        <row r="1339">
          <cell r="B1339" t="str">
            <v>77:08:0009001</v>
          </cell>
        </row>
        <row r="1340">
          <cell r="B1340" t="str">
            <v>77:08:0009002</v>
          </cell>
        </row>
        <row r="1341">
          <cell r="B1341" t="str">
            <v>77:08:0009003</v>
          </cell>
        </row>
        <row r="1342">
          <cell r="B1342" t="str">
            <v>77:08:0009004</v>
          </cell>
        </row>
        <row r="1343">
          <cell r="B1343" t="str">
            <v>77:08:0009005</v>
          </cell>
        </row>
        <row r="1344">
          <cell r="B1344" t="str">
            <v>77:08:0009006</v>
          </cell>
        </row>
        <row r="1345">
          <cell r="B1345" t="str">
            <v>77:08:0009007</v>
          </cell>
        </row>
        <row r="1346">
          <cell r="B1346" t="str">
            <v>77:08:0009008</v>
          </cell>
        </row>
        <row r="1347">
          <cell r="B1347" t="str">
            <v>77:08:0009009</v>
          </cell>
        </row>
        <row r="1348">
          <cell r="B1348" t="str">
            <v>77:08:0009010</v>
          </cell>
        </row>
        <row r="1349">
          <cell r="B1349" t="str">
            <v>77:08:0009011</v>
          </cell>
        </row>
        <row r="1350">
          <cell r="B1350" t="str">
            <v>77:08:0009012</v>
          </cell>
        </row>
        <row r="1351">
          <cell r="B1351" t="str">
            <v>77:08:0009013</v>
          </cell>
        </row>
        <row r="1352">
          <cell r="B1352" t="str">
            <v>77:08:0009014</v>
          </cell>
        </row>
        <row r="1353">
          <cell r="B1353" t="str">
            <v>77:08:0009015</v>
          </cell>
        </row>
        <row r="1354">
          <cell r="B1354" t="str">
            <v>77:08:0009016</v>
          </cell>
        </row>
        <row r="1355">
          <cell r="B1355" t="str">
            <v>77:08:0009017</v>
          </cell>
        </row>
        <row r="1356">
          <cell r="B1356" t="str">
            <v>77:08:0009018</v>
          </cell>
        </row>
        <row r="1357">
          <cell r="B1357" t="str">
            <v>77:08:0009019</v>
          </cell>
        </row>
        <row r="1358">
          <cell r="B1358" t="str">
            <v>77:08:0009020</v>
          </cell>
        </row>
        <row r="1359">
          <cell r="B1359" t="str">
            <v>77:08:0009021</v>
          </cell>
        </row>
        <row r="1360">
          <cell r="B1360" t="str">
            <v>77:08:0009022</v>
          </cell>
        </row>
        <row r="1361">
          <cell r="B1361" t="str">
            <v>77:08:0009023</v>
          </cell>
        </row>
        <row r="1362">
          <cell r="B1362" t="str">
            <v>77:08:0009024</v>
          </cell>
        </row>
        <row r="1363">
          <cell r="B1363" t="str">
            <v>77:08:0009025</v>
          </cell>
        </row>
        <row r="1364">
          <cell r="B1364" t="str">
            <v>77:08:0009026</v>
          </cell>
        </row>
        <row r="1365">
          <cell r="B1365" t="str">
            <v>77:08:0009027</v>
          </cell>
        </row>
        <row r="1366">
          <cell r="B1366" t="str">
            <v>77:08:0009028</v>
          </cell>
        </row>
        <row r="1367">
          <cell r="B1367" t="str">
            <v>77:08:0009029</v>
          </cell>
        </row>
        <row r="1368">
          <cell r="B1368" t="str">
            <v>77:08:0009030</v>
          </cell>
        </row>
        <row r="1369">
          <cell r="B1369" t="str">
            <v>77:08:0009031</v>
          </cell>
        </row>
        <row r="1370">
          <cell r="B1370" t="str">
            <v>77:08:0009032</v>
          </cell>
        </row>
        <row r="1371">
          <cell r="B1371" t="str">
            <v>77:08:0009033</v>
          </cell>
        </row>
        <row r="1372">
          <cell r="B1372" t="str">
            <v>77:08:0009034</v>
          </cell>
        </row>
        <row r="1373">
          <cell r="B1373" t="str">
            <v>77:08:0010001</v>
          </cell>
        </row>
        <row r="1374">
          <cell r="B1374" t="str">
            <v>77:08:0010002</v>
          </cell>
        </row>
        <row r="1375">
          <cell r="B1375" t="str">
            <v>77:08:0010003</v>
          </cell>
        </row>
        <row r="1376">
          <cell r="B1376" t="str">
            <v>77:08:0010004</v>
          </cell>
        </row>
        <row r="1377">
          <cell r="B1377" t="str">
            <v>77:08:0010005</v>
          </cell>
        </row>
        <row r="1378">
          <cell r="B1378" t="str">
            <v>77:08:0010006</v>
          </cell>
        </row>
        <row r="1379">
          <cell r="B1379" t="str">
            <v>77:08:0010007</v>
          </cell>
        </row>
        <row r="1380">
          <cell r="B1380" t="str">
            <v>77:08:0010008</v>
          </cell>
        </row>
        <row r="1381">
          <cell r="B1381" t="str">
            <v>77:08:0010009</v>
          </cell>
        </row>
        <row r="1382">
          <cell r="B1382" t="str">
            <v>77:08:0010010</v>
          </cell>
        </row>
        <row r="1383">
          <cell r="B1383" t="str">
            <v>77:08:0010011</v>
          </cell>
        </row>
        <row r="1384">
          <cell r="B1384" t="str">
            <v>77:08:0010012</v>
          </cell>
        </row>
        <row r="1385">
          <cell r="B1385" t="str">
            <v>77:08:0010013</v>
          </cell>
        </row>
        <row r="1386">
          <cell r="B1386" t="str">
            <v>77:08:0010014</v>
          </cell>
        </row>
        <row r="1387">
          <cell r="B1387" t="str">
            <v>77:08:0010015</v>
          </cell>
        </row>
        <row r="1388">
          <cell r="B1388" t="str">
            <v>77:08:0010016</v>
          </cell>
        </row>
        <row r="1389">
          <cell r="B1389" t="str">
            <v>77:08:0010017</v>
          </cell>
        </row>
        <row r="1390">
          <cell r="B1390" t="str">
            <v>77:08:0011001</v>
          </cell>
        </row>
        <row r="1391">
          <cell r="B1391" t="str">
            <v>77:08:0011002</v>
          </cell>
        </row>
        <row r="1392">
          <cell r="B1392" t="str">
            <v>77:08:0011003</v>
          </cell>
        </row>
        <row r="1393">
          <cell r="B1393" t="str">
            <v>77:08:0012001</v>
          </cell>
        </row>
        <row r="1394">
          <cell r="B1394" t="str">
            <v>77:08:0012002</v>
          </cell>
        </row>
        <row r="1395">
          <cell r="B1395" t="str">
            <v>77:08:0012003</v>
          </cell>
        </row>
        <row r="1396">
          <cell r="B1396" t="str">
            <v>77:08:0012004</v>
          </cell>
        </row>
        <row r="1397">
          <cell r="B1397" t="str">
            <v>77:08:0012005</v>
          </cell>
        </row>
        <row r="1398">
          <cell r="B1398" t="str">
            <v>77:08:0013002</v>
          </cell>
        </row>
        <row r="1399">
          <cell r="B1399" t="str">
            <v>77:08:0013004</v>
          </cell>
        </row>
        <row r="1400">
          <cell r="B1400" t="str">
            <v>77:08:0013005</v>
          </cell>
        </row>
        <row r="1401">
          <cell r="B1401" t="str">
            <v>77:08:0013006</v>
          </cell>
        </row>
        <row r="1402">
          <cell r="B1402" t="str">
            <v>77:08:0013007</v>
          </cell>
        </row>
        <row r="1403">
          <cell r="B1403" t="str">
            <v>77:08:0013008</v>
          </cell>
        </row>
        <row r="1404">
          <cell r="B1404" t="str">
            <v>77:08:0013009</v>
          </cell>
        </row>
        <row r="1405">
          <cell r="B1405" t="str">
            <v>77:08:0013010</v>
          </cell>
        </row>
        <row r="1406">
          <cell r="B1406" t="str">
            <v>77:08:0013011</v>
          </cell>
        </row>
        <row r="1407">
          <cell r="B1407" t="str">
            <v>77:08:0013012</v>
          </cell>
        </row>
        <row r="1408">
          <cell r="B1408" t="str">
            <v>77:08:0013013</v>
          </cell>
        </row>
        <row r="1409">
          <cell r="B1409" t="str">
            <v>77:08:0013014</v>
          </cell>
        </row>
        <row r="1410">
          <cell r="B1410" t="str">
            <v>77:08:0014001</v>
          </cell>
        </row>
        <row r="1411">
          <cell r="B1411" t="str">
            <v>77:08:0014002</v>
          </cell>
        </row>
        <row r="1412">
          <cell r="B1412" t="str">
            <v>77:08:0015001</v>
          </cell>
        </row>
        <row r="1413">
          <cell r="B1413" t="str">
            <v>77:08:0015002</v>
          </cell>
        </row>
        <row r="1414">
          <cell r="B1414" t="str">
            <v>77:09:0001001</v>
          </cell>
        </row>
        <row r="1415">
          <cell r="B1415" t="str">
            <v>77:09:0001002</v>
          </cell>
        </row>
        <row r="1416">
          <cell r="B1416" t="str">
            <v>77:09:0001003</v>
          </cell>
        </row>
        <row r="1417">
          <cell r="B1417" t="str">
            <v>77:09:0001004</v>
          </cell>
        </row>
        <row r="1418">
          <cell r="B1418" t="str">
            <v>77:09:0001005</v>
          </cell>
        </row>
        <row r="1419">
          <cell r="B1419" t="str">
            <v>77:09:0001006</v>
          </cell>
        </row>
        <row r="1420">
          <cell r="B1420" t="str">
            <v>77:09:0001007</v>
          </cell>
        </row>
        <row r="1421">
          <cell r="B1421" t="str">
            <v>77:09:0001008</v>
          </cell>
        </row>
        <row r="1422">
          <cell r="B1422" t="str">
            <v>77:09:0001009</v>
          </cell>
        </row>
        <row r="1423">
          <cell r="B1423" t="str">
            <v>77:09:0001010</v>
          </cell>
        </row>
        <row r="1424">
          <cell r="B1424" t="str">
            <v>77:09:0001011</v>
          </cell>
        </row>
        <row r="1425">
          <cell r="B1425" t="str">
            <v>77:09:0001012</v>
          </cell>
        </row>
        <row r="1426">
          <cell r="B1426" t="str">
            <v>77:09:0001013</v>
          </cell>
        </row>
        <row r="1427">
          <cell r="B1427" t="str">
            <v>77:09:0001014</v>
          </cell>
        </row>
        <row r="1428">
          <cell r="B1428" t="str">
            <v>77:09:0001015</v>
          </cell>
        </row>
        <row r="1429">
          <cell r="B1429" t="str">
            <v>77:09:0001016</v>
          </cell>
        </row>
        <row r="1430">
          <cell r="B1430" t="str">
            <v>77:09:0001017</v>
          </cell>
        </row>
        <row r="1431">
          <cell r="B1431" t="str">
            <v>77:09:0001018</v>
          </cell>
        </row>
        <row r="1432">
          <cell r="B1432" t="str">
            <v>77:09:0001019</v>
          </cell>
        </row>
        <row r="1433">
          <cell r="B1433" t="str">
            <v>77:09:0001020</v>
          </cell>
        </row>
        <row r="1434">
          <cell r="B1434" t="str">
            <v>77:09:0001021</v>
          </cell>
        </row>
        <row r="1435">
          <cell r="B1435" t="str">
            <v>77:09:0001022</v>
          </cell>
        </row>
        <row r="1436">
          <cell r="B1436" t="str">
            <v>77:09:0001023</v>
          </cell>
        </row>
        <row r="1437">
          <cell r="B1437" t="str">
            <v>77:09:0001024</v>
          </cell>
        </row>
        <row r="1438">
          <cell r="B1438" t="str">
            <v>77:09:0001025</v>
          </cell>
        </row>
        <row r="1439">
          <cell r="B1439" t="str">
            <v>77:09:0001026</v>
          </cell>
        </row>
        <row r="1440">
          <cell r="B1440" t="str">
            <v>77:09:0001027</v>
          </cell>
        </row>
        <row r="1441">
          <cell r="B1441" t="str">
            <v>77:09:0001028</v>
          </cell>
        </row>
        <row r="1442">
          <cell r="B1442" t="str">
            <v>77:09:0001029</v>
          </cell>
        </row>
        <row r="1443">
          <cell r="B1443" t="str">
            <v>77:09:0001030</v>
          </cell>
        </row>
        <row r="1444">
          <cell r="B1444" t="str">
            <v>77:09:0001031</v>
          </cell>
        </row>
        <row r="1445">
          <cell r="B1445" t="str">
            <v>77:09:0002001</v>
          </cell>
        </row>
        <row r="1446">
          <cell r="B1446" t="str">
            <v>77:09:0002002</v>
          </cell>
        </row>
        <row r="1447">
          <cell r="B1447" t="str">
            <v>77:09:0002003</v>
          </cell>
        </row>
        <row r="1448">
          <cell r="B1448" t="str">
            <v>77:09:0002004</v>
          </cell>
        </row>
        <row r="1449">
          <cell r="B1449" t="str">
            <v>77:09:0002005</v>
          </cell>
        </row>
        <row r="1450">
          <cell r="B1450" t="str">
            <v>77:09:0002006</v>
          </cell>
        </row>
        <row r="1451">
          <cell r="B1451" t="str">
            <v>77:09:0002007</v>
          </cell>
        </row>
        <row r="1452">
          <cell r="B1452" t="str">
            <v>77:09:0002008</v>
          </cell>
        </row>
        <row r="1453">
          <cell r="B1453" t="str">
            <v>77:09:0002009</v>
          </cell>
        </row>
        <row r="1454">
          <cell r="B1454" t="str">
            <v>77:09:0002010</v>
          </cell>
        </row>
        <row r="1455">
          <cell r="B1455" t="str">
            <v>77:09:0002011</v>
          </cell>
        </row>
        <row r="1456">
          <cell r="B1456" t="str">
            <v>77:09:0002012</v>
          </cell>
        </row>
        <row r="1457">
          <cell r="B1457" t="str">
            <v>77:09:0002013</v>
          </cell>
        </row>
        <row r="1458">
          <cell r="B1458" t="str">
            <v>77:09:0002014</v>
          </cell>
        </row>
        <row r="1459">
          <cell r="B1459" t="str">
            <v>77:09:0002015</v>
          </cell>
        </row>
        <row r="1460">
          <cell r="B1460" t="str">
            <v>77:09:0002016</v>
          </cell>
        </row>
        <row r="1461">
          <cell r="B1461" t="str">
            <v>77:09:0002017</v>
          </cell>
        </row>
        <row r="1462">
          <cell r="B1462" t="str">
            <v>77:09:0002018</v>
          </cell>
        </row>
        <row r="1463">
          <cell r="B1463" t="str">
            <v>77:09:0002019</v>
          </cell>
        </row>
        <row r="1464">
          <cell r="B1464" t="str">
            <v>77:09:0002020</v>
          </cell>
        </row>
        <row r="1465">
          <cell r="B1465" t="str">
            <v>77:09:0002021</v>
          </cell>
        </row>
        <row r="1466">
          <cell r="B1466" t="str">
            <v>77:09:0002022</v>
          </cell>
        </row>
        <row r="1467">
          <cell r="B1467" t="str">
            <v>77:09:0002023</v>
          </cell>
        </row>
        <row r="1468">
          <cell r="B1468" t="str">
            <v>77:09:0002024</v>
          </cell>
        </row>
        <row r="1469">
          <cell r="B1469" t="str">
            <v>77:09:0002025</v>
          </cell>
        </row>
        <row r="1470">
          <cell r="B1470" t="str">
            <v>77:09:0002026</v>
          </cell>
        </row>
        <row r="1471">
          <cell r="B1471" t="str">
            <v>77:09:0002027</v>
          </cell>
        </row>
        <row r="1472">
          <cell r="B1472" t="str">
            <v>77:09:0002028</v>
          </cell>
        </row>
        <row r="1473">
          <cell r="B1473" t="str">
            <v>77:09:0002029</v>
          </cell>
        </row>
        <row r="1474">
          <cell r="B1474" t="str">
            <v>77:09:0002030</v>
          </cell>
        </row>
        <row r="1475">
          <cell r="B1475" t="str">
            <v>77:09:0002031</v>
          </cell>
        </row>
        <row r="1476">
          <cell r="B1476" t="str">
            <v>77:09:0002032</v>
          </cell>
        </row>
        <row r="1477">
          <cell r="B1477" t="str">
            <v>77:09:0003001</v>
          </cell>
        </row>
        <row r="1478">
          <cell r="B1478" t="str">
            <v>77:09:0003002</v>
          </cell>
        </row>
        <row r="1479">
          <cell r="B1479" t="str">
            <v>77:09:0003003</v>
          </cell>
        </row>
        <row r="1480">
          <cell r="B1480" t="str">
            <v>77:09:0003004</v>
          </cell>
        </row>
        <row r="1481">
          <cell r="B1481" t="str">
            <v>77:09:0003005</v>
          </cell>
        </row>
        <row r="1482">
          <cell r="B1482" t="str">
            <v>77:09:0003008</v>
          </cell>
        </row>
        <row r="1483">
          <cell r="B1483" t="str">
            <v>77:09:0003009</v>
          </cell>
        </row>
        <row r="1484">
          <cell r="B1484" t="str">
            <v>77:09:0003010</v>
          </cell>
        </row>
        <row r="1485">
          <cell r="B1485" t="str">
            <v>77:09:0003011</v>
          </cell>
        </row>
        <row r="1486">
          <cell r="B1486" t="str">
            <v>77:09:0003012</v>
          </cell>
        </row>
        <row r="1487">
          <cell r="B1487" t="str">
            <v>77:09:0003013</v>
          </cell>
        </row>
        <row r="1488">
          <cell r="B1488" t="str">
            <v>77:09:0003014</v>
          </cell>
        </row>
        <row r="1489">
          <cell r="B1489" t="str">
            <v>77:09:0003015</v>
          </cell>
        </row>
        <row r="1490">
          <cell r="B1490" t="str">
            <v>77:09:0003016</v>
          </cell>
        </row>
        <row r="1491">
          <cell r="B1491" t="str">
            <v>77:09:0003017</v>
          </cell>
        </row>
        <row r="1492">
          <cell r="B1492" t="str">
            <v>77:09:0003018</v>
          </cell>
        </row>
        <row r="1493">
          <cell r="B1493" t="str">
            <v>77:09:0003019</v>
          </cell>
        </row>
        <row r="1494">
          <cell r="B1494" t="str">
            <v>77:09:0003020</v>
          </cell>
        </row>
        <row r="1495">
          <cell r="B1495" t="str">
            <v>77:09:0003021</v>
          </cell>
        </row>
        <row r="1496">
          <cell r="B1496" t="str">
            <v>77:09:0003022</v>
          </cell>
        </row>
        <row r="1497">
          <cell r="B1497" t="str">
            <v>77:09:0003023</v>
          </cell>
        </row>
        <row r="1498">
          <cell r="B1498" t="str">
            <v>77:09:0003024</v>
          </cell>
        </row>
        <row r="1499">
          <cell r="B1499" t="str">
            <v>77:09:0003025</v>
          </cell>
        </row>
        <row r="1500">
          <cell r="B1500" t="str">
            <v>77:09:0003026</v>
          </cell>
        </row>
        <row r="1501">
          <cell r="B1501" t="str">
            <v>77:09:0003027</v>
          </cell>
        </row>
        <row r="1502">
          <cell r="B1502" t="str">
            <v>77:09:0003029</v>
          </cell>
        </row>
        <row r="1503">
          <cell r="B1503" t="str">
            <v>77:09:0004001</v>
          </cell>
        </row>
        <row r="1504">
          <cell r="B1504" t="str">
            <v>77:09:0004002</v>
          </cell>
        </row>
        <row r="1505">
          <cell r="B1505" t="str">
            <v>77:09:0004003</v>
          </cell>
        </row>
        <row r="1506">
          <cell r="B1506" t="str">
            <v>77:09:0004004</v>
          </cell>
        </row>
        <row r="1507">
          <cell r="B1507" t="str">
            <v>77:09:0004005</v>
          </cell>
        </row>
        <row r="1508">
          <cell r="B1508" t="str">
            <v>77:09:0004006</v>
          </cell>
        </row>
        <row r="1509">
          <cell r="B1509" t="str">
            <v>77:09:0004007</v>
          </cell>
        </row>
        <row r="1510">
          <cell r="B1510" t="str">
            <v>77:09:0004008</v>
          </cell>
        </row>
        <row r="1511">
          <cell r="B1511" t="str">
            <v>77:09:0004009</v>
          </cell>
        </row>
        <row r="1512">
          <cell r="B1512" t="str">
            <v>77:09:0004010</v>
          </cell>
        </row>
        <row r="1513">
          <cell r="B1513" t="str">
            <v>77:09:0004011</v>
          </cell>
        </row>
        <row r="1514">
          <cell r="B1514" t="str">
            <v>77:09:0004012</v>
          </cell>
        </row>
        <row r="1515">
          <cell r="B1515" t="str">
            <v>77:09:0004013</v>
          </cell>
        </row>
        <row r="1516">
          <cell r="B1516" t="str">
            <v>77:09:0004014</v>
          </cell>
        </row>
        <row r="1517">
          <cell r="B1517" t="str">
            <v>77:09:0004015</v>
          </cell>
        </row>
        <row r="1518">
          <cell r="B1518" t="str">
            <v>77:09:0004016</v>
          </cell>
        </row>
        <row r="1519">
          <cell r="B1519" t="str">
            <v>77:09:0004017</v>
          </cell>
        </row>
        <row r="1520">
          <cell r="B1520" t="str">
            <v>77:09:0004018</v>
          </cell>
        </row>
        <row r="1521">
          <cell r="B1521" t="str">
            <v>77:09:0004019</v>
          </cell>
        </row>
        <row r="1522">
          <cell r="B1522" t="str">
            <v>77:09:0004020</v>
          </cell>
        </row>
        <row r="1523">
          <cell r="B1523" t="str">
            <v>77:09:0004021</v>
          </cell>
        </row>
        <row r="1524">
          <cell r="B1524" t="str">
            <v>77:09:0004022</v>
          </cell>
        </row>
        <row r="1525">
          <cell r="B1525" t="str">
            <v>77:09:0004023</v>
          </cell>
        </row>
        <row r="1526">
          <cell r="B1526" t="str">
            <v>77:09:0005001</v>
          </cell>
        </row>
        <row r="1527">
          <cell r="B1527" t="str">
            <v>77:09:0005002</v>
          </cell>
        </row>
        <row r="1528">
          <cell r="B1528" t="str">
            <v>77:09:0005003</v>
          </cell>
        </row>
        <row r="1529">
          <cell r="B1529" t="str">
            <v>77:09:0005004</v>
          </cell>
        </row>
        <row r="1530">
          <cell r="B1530" t="str">
            <v>77:09:0005005</v>
          </cell>
        </row>
        <row r="1531">
          <cell r="B1531" t="str">
            <v>77:09:0005006</v>
          </cell>
        </row>
        <row r="1532">
          <cell r="B1532" t="str">
            <v>77:09:0005007</v>
          </cell>
        </row>
        <row r="1533">
          <cell r="B1533" t="str">
            <v>77:09:0005008</v>
          </cell>
        </row>
        <row r="1534">
          <cell r="B1534" t="str">
            <v>77:09:0005009</v>
          </cell>
        </row>
        <row r="1535">
          <cell r="B1535" t="str">
            <v>77:09:0005010</v>
          </cell>
        </row>
        <row r="1536">
          <cell r="B1536" t="str">
            <v>77:09:0005011</v>
          </cell>
        </row>
        <row r="1537">
          <cell r="B1537" t="str">
            <v>77:09:0005012</v>
          </cell>
        </row>
        <row r="1538">
          <cell r="B1538" t="str">
            <v>77:09:0005013</v>
          </cell>
        </row>
        <row r="1539">
          <cell r="B1539" t="str">
            <v>77:09:0005014</v>
          </cell>
        </row>
        <row r="1540">
          <cell r="B1540" t="str">
            <v>77:09:0005015</v>
          </cell>
        </row>
        <row r="1541">
          <cell r="B1541" t="str">
            <v>77:09:0005016</v>
          </cell>
        </row>
        <row r="1542">
          <cell r="B1542" t="str">
            <v>77:09:0005017</v>
          </cell>
        </row>
        <row r="1543">
          <cell r="B1543" t="str">
            <v>77:09:0006002</v>
          </cell>
        </row>
        <row r="1544">
          <cell r="B1544" t="str">
            <v>77:09:0006004</v>
          </cell>
        </row>
        <row r="1545">
          <cell r="B1545" t="str">
            <v>77:09:0006006</v>
          </cell>
        </row>
        <row r="1546">
          <cell r="B1546" t="str">
            <v>77:09:0006007</v>
          </cell>
        </row>
        <row r="1547">
          <cell r="B1547" t="str">
            <v>77:09:0006008</v>
          </cell>
        </row>
        <row r="1548">
          <cell r="B1548" t="str">
            <v>77:09:0006009</v>
          </cell>
        </row>
        <row r="1549">
          <cell r="B1549" t="str">
            <v>77:09:0006010</v>
          </cell>
        </row>
        <row r="1550">
          <cell r="B1550" t="str">
            <v>77:09:0006011</v>
          </cell>
        </row>
        <row r="1551">
          <cell r="B1551" t="str">
            <v>77:09:0006012</v>
          </cell>
        </row>
        <row r="1552">
          <cell r="B1552" t="str">
            <v>77:09:0006013</v>
          </cell>
        </row>
        <row r="1553">
          <cell r="B1553" t="str">
            <v>77:10:0001001</v>
          </cell>
        </row>
        <row r="1554">
          <cell r="B1554" t="str">
            <v>77:10:0001002</v>
          </cell>
        </row>
        <row r="1555">
          <cell r="B1555" t="str">
            <v>77:10:0001003</v>
          </cell>
        </row>
        <row r="1556">
          <cell r="B1556" t="str">
            <v>77:10:0001004</v>
          </cell>
        </row>
        <row r="1557">
          <cell r="B1557" t="str">
            <v>77:10:0001005</v>
          </cell>
        </row>
        <row r="1558">
          <cell r="B1558" t="str">
            <v>77:10:0001006</v>
          </cell>
        </row>
        <row r="1559">
          <cell r="B1559" t="str">
            <v>77:10:0002001</v>
          </cell>
        </row>
        <row r="1560">
          <cell r="B1560" t="str">
            <v>77:10:0002002</v>
          </cell>
        </row>
        <row r="1561">
          <cell r="B1561" t="str">
            <v>77:10:0002003</v>
          </cell>
        </row>
        <row r="1562">
          <cell r="B1562" t="str">
            <v>77:10:0002004</v>
          </cell>
        </row>
        <row r="1563">
          <cell r="B1563" t="str">
            <v>77:10:0002005</v>
          </cell>
        </row>
        <row r="1564">
          <cell r="B1564" t="str">
            <v>77:10:0002006</v>
          </cell>
        </row>
        <row r="1565">
          <cell r="B1565" t="str">
            <v>77:10:0002007</v>
          </cell>
        </row>
        <row r="1566">
          <cell r="B1566" t="str">
            <v>77:10:0002008</v>
          </cell>
        </row>
        <row r="1567">
          <cell r="B1567" t="str">
            <v>77:10:0003001</v>
          </cell>
        </row>
        <row r="1568">
          <cell r="B1568" t="str">
            <v>77:10:0003002</v>
          </cell>
        </row>
        <row r="1569">
          <cell r="B1569" t="str">
            <v>77:10:0003003</v>
          </cell>
        </row>
        <row r="1570">
          <cell r="B1570" t="str">
            <v>77:10:0003004</v>
          </cell>
        </row>
        <row r="1571">
          <cell r="B1571" t="str">
            <v>77:10:0003005</v>
          </cell>
        </row>
        <row r="1572">
          <cell r="B1572" t="str">
            <v>77:10:0003006</v>
          </cell>
        </row>
        <row r="1573">
          <cell r="B1573" t="str">
            <v>77:10:0003007</v>
          </cell>
        </row>
        <row r="1574">
          <cell r="B1574" t="str">
            <v>77:10:0003008</v>
          </cell>
        </row>
        <row r="1575">
          <cell r="B1575" t="str">
            <v>77:10:0003009</v>
          </cell>
        </row>
        <row r="1576">
          <cell r="B1576" t="str">
            <v>77:10:0004001</v>
          </cell>
        </row>
        <row r="1577">
          <cell r="B1577" t="str">
            <v>77:10:0004002</v>
          </cell>
        </row>
        <row r="1578">
          <cell r="B1578" t="str">
            <v>77:10:0004003</v>
          </cell>
        </row>
        <row r="1579">
          <cell r="B1579" t="str">
            <v>77:10:0004004</v>
          </cell>
        </row>
        <row r="1580">
          <cell r="B1580" t="str">
            <v>77:10:0004005</v>
          </cell>
        </row>
        <row r="1581">
          <cell r="B1581" t="str">
            <v>77:10:0004006</v>
          </cell>
        </row>
        <row r="1582">
          <cell r="B1582" t="str">
            <v>77:10:0005001</v>
          </cell>
        </row>
        <row r="1583">
          <cell r="B1583" t="str">
            <v>77:10:0005002</v>
          </cell>
        </row>
        <row r="1584">
          <cell r="B1584" t="str">
            <v>77:10:0005003</v>
          </cell>
        </row>
        <row r="1585">
          <cell r="B1585" t="str">
            <v>77:10:0005004</v>
          </cell>
        </row>
        <row r="1586">
          <cell r="B1586" t="str">
            <v>77:10:0005005</v>
          </cell>
        </row>
        <row r="1587">
          <cell r="B1587" t="str">
            <v>77:10:0005006</v>
          </cell>
        </row>
        <row r="1588">
          <cell r="B1588" t="str">
            <v>77:10:0005007</v>
          </cell>
        </row>
        <row r="1589">
          <cell r="B1589" t="str">
            <v>77:10:0006001</v>
          </cell>
        </row>
        <row r="1590">
          <cell r="B1590" t="str">
            <v>77:10:0006002</v>
          </cell>
        </row>
        <row r="1591">
          <cell r="B1591" t="str">
            <v>77:10:0006003</v>
          </cell>
        </row>
        <row r="1592">
          <cell r="B1592" t="str">
            <v>77:10:0006004</v>
          </cell>
        </row>
        <row r="1593">
          <cell r="B1593" t="str">
            <v>77:10:0006005</v>
          </cell>
        </row>
        <row r="1594">
          <cell r="B1594" t="str">
            <v>77:10:0006006</v>
          </cell>
        </row>
        <row r="1595">
          <cell r="B1595" t="str">
            <v>77:10:0006007</v>
          </cell>
        </row>
        <row r="1596">
          <cell r="B1596" t="str">
            <v>77:10:0006008</v>
          </cell>
        </row>
        <row r="1597">
          <cell r="B1597" t="str">
            <v>77:10:0007001</v>
          </cell>
        </row>
      </sheetData>
      <sheetData sheetId="10">
        <row r="1">
          <cell r="B1" t="str">
            <v>считаем</v>
          </cell>
        </row>
        <row r="2">
          <cell r="B2" t="str">
            <v>не считаем</v>
          </cell>
        </row>
      </sheetData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биторы"/>
      <sheetName val="Groupings"/>
      <sheetName val="Затраты"/>
      <sheetName val="Список"/>
      <sheetName val="#ССЫЛКА"/>
      <sheetName val="Link-ex"/>
      <sheetName val="Лист1"/>
      <sheetName val="Лист2"/>
      <sheetName val="Лист3"/>
      <sheetName val="_ССЫЛКА"/>
      <sheetName val="реестр отгрузка"/>
      <sheetName val="Услов"/>
      <sheetName val="Итог по НПО "/>
      <sheetName val="Понедельно"/>
      <sheetName val="OUTPUT"/>
      <sheetName val="Ф1"/>
      <sheetName val="Расходы"/>
      <sheetName val="ОСВ"/>
      <sheetName val="Etalon"/>
      <sheetName val="Оглавление"/>
      <sheetName val="Информация"/>
      <sheetName val="Доп инфо"/>
      <sheetName val="Доходы"/>
      <sheetName val="Indizes"/>
      <sheetName val="Links"/>
      <sheetName val="Bendra"/>
      <sheetName val="Spr"/>
      <sheetName val="движимое имущество"/>
      <sheetName val="SUMMARY_DATA"/>
      <sheetName val="cfg"/>
      <sheetName val="Gen"/>
      <sheetName val="Exh_DCF"/>
      <sheetName val="Exh_CoCo"/>
      <sheetName val="карточка"/>
      <sheetName val="Договор № 356Л01001"/>
      <sheetName val="F1_detail"/>
      <sheetName val="Предположения"/>
      <sheetName val="KEY"/>
      <sheetName val="Sched 11-ACTUALS"/>
      <sheetName val="NASE Oil-Revenu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. ЦЕНЫ "/>
      <sheetName val="см. РАСЦЕНКИ"/>
      <sheetName val="см. КРЫЛЬЦА"/>
      <sheetName val="благоустр"/>
      <sheetName val="ПОЛЫ (2)"/>
      <sheetName val="сети"/>
      <sheetName val="12.разные"/>
      <sheetName val="11.м~констр"/>
      <sheetName val="10.отделка"/>
      <sheetName val="9.полы"/>
      <sheetName val="8.проемы"/>
      <sheetName val="7.кровля"/>
      <sheetName val="6.лестница"/>
      <sheetName val="5.перекр"/>
      <sheetName val="4.перегор."/>
      <sheetName val="3.стены"/>
      <sheetName val="2.фунд."/>
      <sheetName val="1.земл."/>
      <sheetName val="см_ ЦЕНЫ "/>
    </sheetNames>
    <sheetDataSet>
      <sheetData sheetId="0" refreshError="1">
        <row r="24">
          <cell r="B24" t="str">
            <v>М/КАРКАСЫ</v>
          </cell>
        </row>
        <row r="34">
          <cell r="B34" t="str">
            <v>Ж/БЕТОН</v>
          </cell>
        </row>
        <row r="79">
          <cell r="B79" t="str">
            <v>МЕТАЛЛ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_Price"/>
      <sheetName val="Rental_Rate"/>
      <sheetName val="Vacancy"/>
      <sheetName val="Existing"/>
      <sheetName val="ГК"/>
      <sheetName val="Sheet2"/>
      <sheetName val="2014"/>
      <sheetName val="UC_and_P"/>
      <sheetName val="2015"/>
      <sheetName val="Weight average"/>
      <sheetName val="op.ex."/>
      <sheetName val="op.ex._tables"/>
      <sheetName val="Sheet1"/>
      <sheetName val="DropDownList"/>
      <sheetName val="Sheet3"/>
      <sheetName val="Sheet4"/>
    </sheetNames>
    <sheetDataSet>
      <sheetData sheetId="0"/>
      <sheetData sheetId="1">
        <row r="133">
          <cell r="L133">
            <v>380.20721170408723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D1" t="str">
            <v>$</v>
          </cell>
          <cell r="G1" t="str">
            <v>New</v>
          </cell>
        </row>
        <row r="2">
          <cell r="D2" t="str">
            <v>€</v>
          </cell>
          <cell r="G2" t="str">
            <v>Ref</v>
          </cell>
        </row>
        <row r="3">
          <cell r="D3" t="str">
            <v>rur</v>
          </cell>
          <cell r="G3" t="str">
            <v>New + Ref</v>
          </cell>
        </row>
        <row r="4">
          <cell r="D4" t="str">
            <v>($+€)/2</v>
          </cell>
        </row>
        <row r="5">
          <cell r="D5" t="str">
            <v>cu</v>
          </cell>
        </row>
      </sheetData>
      <sheetData sheetId="14" refreshError="1"/>
      <sheetData sheetId="15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_Price"/>
      <sheetName val="Rental_Rate"/>
      <sheetName val="Vacancy"/>
      <sheetName val="Лист2"/>
      <sheetName val="Лист3"/>
      <sheetName val="Existing"/>
      <sheetName val="Лист4"/>
      <sheetName val="Лист1"/>
      <sheetName val="2014"/>
      <sheetName val="2015"/>
      <sheetName val="UC_and_P"/>
      <sheetName val="2016"/>
      <sheetName val="Weight average"/>
      <sheetName val="op.ex."/>
      <sheetName val="DropDownList"/>
      <sheetName val="Лист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A1" t="str">
            <v>Incl</v>
          </cell>
        </row>
        <row r="2">
          <cell r="A2" t="str">
            <v>TBD</v>
          </cell>
        </row>
        <row r="3">
          <cell r="A3" t="str">
            <v>Open book</v>
          </cell>
        </row>
        <row r="4">
          <cell r="A4" t="str">
            <v>Define</v>
          </cell>
        </row>
      </sheetData>
      <sheetData sheetId="15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НЭИ застр"/>
      <sheetName val="ННЭИ незастр"/>
      <sheetName val="Пред приб"/>
      <sheetName val="Модульный"/>
      <sheetName val="УПВС с землей"/>
      <sheetName val="УПВС"/>
      <sheetName val="рассчет ФИ"/>
      <sheetName val="признаки ФИ "/>
      <sheetName val="НФИк"/>
      <sheetName val="НФИд"/>
      <sheetName val="Лист1"/>
      <sheetName val="Расчет коэф мод"/>
      <sheetName val="УФУ2"/>
      <sheetName val="Расчет ст-ти модерн"/>
      <sheetName val="функ2рода кор"/>
      <sheetName val="земля"/>
      <sheetName val="свед"/>
      <sheetName val="Метод остат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7">
          <cell r="A17">
            <v>121669648.18420421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"/>
      <sheetName val="Chart Refining Mix RUS"/>
      <sheetName val="Chart Refining Mix"/>
      <sheetName val="Chart Refining Mix 2003"/>
      <sheetName val="Chart Refining Mix 2009"/>
      <sheetName val="Chart % Product Consumption"/>
      <sheetName val="pct 2003-2009"/>
      <sheetName val="pct"/>
      <sheetName val="Chart Consump Outlook ru"/>
      <sheetName val="Chart Consump Outlook"/>
      <sheetName val="print cons"/>
      <sheetName val="chart data"/>
      <sheetName val="Oil Prod chart"/>
      <sheetName val="Oil Cons chart"/>
      <sheetName val="Oil Export chart"/>
      <sheetName val="foreign export chart"/>
      <sheetName val="RefMix"/>
      <sheetName val="RUBValueChain"/>
      <sheetName val="LO prices"/>
      <sheetName val="LO prices RUS"/>
      <sheetName val="HO price RUS"/>
      <sheetName val="HO price"/>
      <sheetName val="Diesel price RUS"/>
      <sheetName val="Diesel price"/>
      <sheetName val="Jet kero price RUS"/>
      <sheetName val="Jet kero price"/>
      <sheetName val="Fuel oil price RUS"/>
      <sheetName val="Fuel oil price"/>
      <sheetName val="USDParity"/>
      <sheetName val="RSOILBAL"/>
      <sheetName val="Chart Price v Parity"/>
      <sheetName val="ElecticityChart"/>
      <sheetName val="GasChart"/>
      <sheetName val="TableMacroRUS"/>
      <sheetName val="TableMacro"/>
      <sheetName val="TableTaxes RUS"/>
      <sheetName val="TableTaxes"/>
      <sheetName val="TablePricesRUS"/>
      <sheetName val="TablePrices"/>
      <sheetName val="TableNetbacks RUS"/>
      <sheetName val="TableNetbacks"/>
      <sheetName val="TableNetbacksFlat"/>
      <sheetName val="TableSummary"/>
      <sheetName val="TableSumFlat RUS"/>
      <sheetName val="TableSummaryFlat"/>
      <sheetName val="Chart Rus Oil Bal RUS"/>
      <sheetName val="Chart Rus Oil Balance"/>
      <sheetName val="TranspTariffs"/>
      <sheetName val="Table Exec Sum RUS"/>
      <sheetName val="Table Exec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едение"/>
      <sheetName val="Общий"/>
      <sheetName val="МАКРО"/>
      <sheetName val="Курс USD"/>
      <sheetName val="Sum"/>
      <sheetName val="ЗП"/>
      <sheetName val="DCF"/>
      <sheetName val="СП"/>
      <sheetName val="Ф1"/>
      <sheetName val="Ф2"/>
      <sheetName val="Ф5"/>
      <sheetName val="Оф 1"/>
      <sheetName val="Оф2"/>
      <sheetName val="Оф5"/>
      <sheetName val="FRA1"/>
      <sheetName val="FRA2"/>
      <sheetName val="Графики"/>
      <sheetName val="CAPM"/>
      <sheetName val="ЧДП"/>
      <sheetName val="ЛиквС"/>
      <sheetName val="Depr-план"/>
      <sheetName val="Depr-ДВМЦ"/>
      <sheetName val="CapEx_Depr-ОС"/>
      <sheetName val="Налоги"/>
      <sheetName val="Персонал"/>
      <sheetName val="WorkCap"/>
      <sheetName val="Beta"/>
      <sheetName val="Спец. риск S3"/>
      <sheetName val="RTSI"/>
      <sheetName val="Расчет доходности"/>
      <sheetName val="Сектор"/>
      <sheetName val="ВиС"/>
      <sheetName val="Тек-авиа"/>
      <sheetName val="Пл-авиа"/>
      <sheetName val="Тек-прочее"/>
      <sheetName val="Пл-прочее"/>
      <sheetName val="ОС"/>
      <sheetName val="Двигатели"/>
      <sheetName val="Мультипл. USA"/>
      <sheetName val="Бета"/>
      <sheetName val="wacc-Дамодаран"/>
      <sheetName val="Фин.рез."/>
      <sheetName val="Тек-Дог"/>
      <sheetName val="Прочее-пл"/>
      <sheetName val="Авиа-тек"/>
      <sheetName val="Авиализинг"/>
      <sheetName val="ВС502 и ВС503"/>
      <sheetName val="Restricted Stock Regression"/>
      <sheetName val="Bid-Ask Spread"/>
      <sheetName val="DiscChart"/>
      <sheetName val="IlliqChart"/>
      <sheetName val="Sheet2"/>
    </sheetNames>
    <sheetDataSet>
      <sheetData sheetId="0"/>
      <sheetData sheetId="1"/>
      <sheetData sheetId="2"/>
      <sheetData sheetId="3"/>
      <sheetData sheetId="4">
        <row r="2">
          <cell r="B2" t="str">
            <v>Таблица 2.1.  Расчет итоговой рыночной стоимости собственного капитала</v>
          </cell>
        </row>
      </sheetData>
      <sheetData sheetId="5"/>
      <sheetData sheetId="6">
        <row r="9">
          <cell r="B9" t="str">
            <v>Метод дисконтированных денежных потоков</v>
          </cell>
        </row>
        <row r="69">
          <cell r="R69">
            <v>2.1999999999999999E-2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едение"/>
      <sheetName val="Общий"/>
      <sheetName val="Sum"/>
      <sheetName val="ЗП"/>
      <sheetName val="СП"/>
      <sheetName val="DCF"/>
      <sheetName val="Форма 1"/>
      <sheetName val="Форма 2"/>
      <sheetName val="Форма 5"/>
      <sheetName val="FRA1"/>
      <sheetName val="FRA2"/>
      <sheetName val="ОС"/>
      <sheetName val="ТЗ исх. д."/>
      <sheetName val="стр. 140"/>
      <sheetName val="ДФВ"/>
      <sheetName val="стр. 150"/>
      <sheetName val="стр. 210"/>
      <sheetName val="стр. 240"/>
      <sheetName val="ДЗ"/>
      <sheetName val="стр. 250"/>
      <sheetName val="КФВ"/>
      <sheetName val="стр. 420,430,470"/>
      <sheetName val="стр. 520,610"/>
      <sheetName val="кредиты"/>
      <sheetName val="стр. 620"/>
      <sheetName val="КЗ"/>
      <sheetName val="Мультипл-итог"/>
      <sheetName val=" WACC"/>
      <sheetName val="Расчет доходности"/>
      <sheetName val="Спец. риск S3"/>
      <sheetName val="доходы"/>
      <sheetName val="расходы"/>
      <sheetName val="Стр-ра В и С"/>
      <sheetName val="Стр-ра Оп и Вн"/>
      <sheetName val="CapEx_Depr"/>
      <sheetName val="Стр. 130"/>
      <sheetName val="Капвложения"/>
      <sheetName val="WorkCap"/>
      <sheetName val="Персонал"/>
      <sheetName val="Depr_Nez-ka"/>
      <sheetName val="Налоги"/>
      <sheetName val="Отрасль 18131-ф 1"/>
      <sheetName val="Отрасль 18131-ф2"/>
      <sheetName val="Отрасль 18131-ф5"/>
      <sheetName val="Отрасль 91610"/>
      <sheetName val="Индексы РТС"/>
      <sheetName val="Курс USD"/>
      <sheetName val="Курс Евро"/>
      <sheetName val="Restricted Stock Regression"/>
      <sheetName val="Bid-Ask Spread"/>
      <sheetName val="DiscChart"/>
      <sheetName val="IlliqChart"/>
      <sheetName val="Sheet2"/>
      <sheetName val="Мультипл (1выборка)"/>
      <sheetName val="Мультипл (2выборка)"/>
      <sheetName val="Продукция"/>
      <sheetName val="Прайс-лист"/>
      <sheetName val="НМА"/>
      <sheetName val="НМА и ОКР"/>
      <sheetName val="Финвложения"/>
      <sheetName val="Д и К"/>
      <sheetName val="Обыкн и привилег акци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2">
          <cell r="B2" t="str">
            <v>Анализ и расчет оборотного капитала</v>
          </cell>
        </row>
      </sheetData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уководители"/>
      <sheetName val="СП (по всем)"/>
      <sheetName val="ООО &quot;Пилюда&quot;"/>
      <sheetName val="Отрасль 11210-ф1"/>
      <sheetName val="Отрасль 11210-ф2"/>
      <sheetName val="Отрасль 11210-ф5"/>
      <sheetName val="курс доллара"/>
      <sheetName val="ООО &quot;НК &quot;Дулисьма&quot;"/>
      <sheetName val="ОС-исх."/>
      <sheetName val="ОС-исх. (2)"/>
      <sheetName val="ОС-по году"/>
      <sheetName val="ОС-по группам"/>
      <sheetName val="FRA1 ООО &quot;НК &quot;Дулисьма&quot;"/>
      <sheetName val="FRA2 ООО &quot;НК &quot;Дулисьма&quot;"/>
      <sheetName val="Ненецкая КНГК"/>
      <sheetName val="FRA1 Ненецкая КНГК "/>
      <sheetName val="FRA2 Ненецкая КНГК"/>
      <sheetName val="ООО &quot;ДИАЛЛ-АЛЬЯНС&quot;"/>
      <sheetName val="FRA1 ООО&quot;ДИАЛЛ-АЛЬЯНС&quot; "/>
      <sheetName val="FRA2 ООО&quot;ДИАЛЛ-АЛЬЯНС&quot; "/>
      <sheetName val="WACC"/>
      <sheetName val="Спец. риск S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2">
          <cell r="B2" t="str">
            <v>Таблица 3.1.7.  Расчет средневзвешенной стоимости капитала (WACC)</v>
          </cell>
        </row>
      </sheetData>
      <sheetData sheetId="2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Э"/>
      <sheetName val="Ко"/>
      <sheetName val="ДАННЫЕ"/>
      <sheetName val="земля"/>
      <sheetName val="затратный "/>
      <sheetName val="аналоги_Сравн"/>
      <sheetName val="аналоги_доходн"/>
      <sheetName val="доходный"/>
      <sheetName val="Согласование"/>
      <sheetName val="вывод"/>
      <sheetName val="Лист1"/>
      <sheetName val="Аренда"/>
      <sheetName val="Таблица 8"/>
      <sheetName val="F1_detail"/>
    </sheetNames>
    <sheetDataSet>
      <sheetData sheetId="0" refreshError="1"/>
      <sheetData sheetId="1" refreshError="1"/>
      <sheetData sheetId="2" refreshError="1">
        <row r="17">
          <cell r="C17">
            <v>28.554400000000001</v>
          </cell>
        </row>
      </sheetData>
      <sheetData sheetId="3" refreshError="1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Баланс"/>
      <sheetName val="Агр баланс"/>
      <sheetName val="Баланс 2"/>
      <sheetName val="Агр баланс 2"/>
      <sheetName val="Об активы"/>
      <sheetName val="Кратк обяз"/>
      <sheetName val="Движ ДС"/>
      <sheetName val="Прибыль"/>
      <sheetName val="Показатели"/>
      <sheetName val="Цикл"/>
      <sheetName val="Осн показ"/>
    </sheetNames>
    <sheetDataSet>
      <sheetData sheetId="0" refreshError="1">
        <row r="11">
          <cell r="A11" t="str">
            <v>&lt;1-й квартал 2002 года&gt;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-Flow"/>
      <sheetName val="Возврат"/>
      <sheetName val="Черновик"/>
      <sheetName val="Параметры"/>
      <sheetName val="POW"/>
      <sheetName val="Таблица"/>
      <sheetName val="лист4"/>
      <sheetName val="Summary"/>
      <sheetName val="cus_HK1033"/>
      <sheetName val="Breakdown CAPEX (PBC)"/>
      <sheetName val="AOP Summary-2"/>
      <sheetName val="кодировка"/>
      <sheetName val="_Ф2"/>
      <sheetName val="Незав.пр-во "/>
      <sheetName val="4"/>
      <sheetName val="cur_projects pl"/>
      <sheetName val="1.2.1"/>
      <sheetName val="гр+"/>
      <sheetName val="ВводД"/>
      <sheetName val="проект"/>
      <sheetName val="sheet1"/>
      <sheetName val="sal"/>
      <sheetName val="сводная лссму"/>
    </sheetNames>
    <sheetDataSet>
      <sheetData sheetId="0"/>
      <sheetData sheetId="1"/>
      <sheetData sheetId="2" refreshError="1">
        <row r="1">
          <cell r="A1" t="str">
            <v>Приложение к ТЭО.         Денежные потоки в</v>
          </cell>
          <cell r="D1" t="str">
            <v xml:space="preserve">инвестиционной программе "Север"  ССМО ЛенСпецСМУ на 10лет </v>
          </cell>
        </row>
        <row r="2">
          <cell r="G2">
            <v>217.4</v>
          </cell>
          <cell r="M2" t="str">
            <v>Ед. изм.:  тысячи US $</v>
          </cell>
        </row>
        <row r="3">
          <cell r="A3" t="str">
            <v>Наименование объекта</v>
          </cell>
          <cell r="B3" t="str">
            <v>Период  Всего</v>
          </cell>
          <cell r="C3">
            <v>36526</v>
          </cell>
          <cell r="D3">
            <v>36892</v>
          </cell>
          <cell r="E3">
            <v>37258</v>
          </cell>
          <cell r="F3">
            <v>37624</v>
          </cell>
          <cell r="G3">
            <v>37990</v>
          </cell>
          <cell r="H3">
            <v>38356</v>
          </cell>
          <cell r="I3">
            <v>38722</v>
          </cell>
          <cell r="J3">
            <v>39088</v>
          </cell>
          <cell r="K3">
            <v>39454</v>
          </cell>
          <cell r="L3">
            <v>39820</v>
          </cell>
          <cell r="M3">
            <v>40186</v>
          </cell>
        </row>
        <row r="4">
          <cell r="A4" t="str">
            <v>Дом в Озерках</v>
          </cell>
          <cell r="B4">
            <v>25496</v>
          </cell>
          <cell r="C4">
            <v>0.35239397381387288</v>
          </cell>
        </row>
        <row r="5">
          <cell r="A5" t="str">
            <v>Ввод площадей, кв.м</v>
          </cell>
          <cell r="B5">
            <v>25496</v>
          </cell>
          <cell r="D5">
            <v>14532.72</v>
          </cell>
          <cell r="E5">
            <v>10963.28</v>
          </cell>
          <cell r="F5">
            <v>0</v>
          </cell>
          <cell r="G5">
            <v>0</v>
          </cell>
        </row>
        <row r="6">
          <cell r="A6" t="str">
            <v>Затраты по проекту</v>
          </cell>
          <cell r="B6">
            <v>6756.4400000000005</v>
          </cell>
          <cell r="D6">
            <v>3851.1707999999999</v>
          </cell>
          <cell r="E6">
            <v>2905.2692000000002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A7" t="str">
            <v>Выручка от продаж</v>
          </cell>
          <cell r="B7">
            <v>10198.400000000001</v>
          </cell>
          <cell r="D7">
            <v>3263.4880000000003</v>
          </cell>
          <cell r="E7">
            <v>4079.3600000000006</v>
          </cell>
          <cell r="F7">
            <v>1937.6959999999999</v>
          </cell>
          <cell r="G7">
            <v>917.85599999999999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A8" t="str">
            <v>Налогообл.база</v>
          </cell>
          <cell r="B8">
            <v>1127.5606000000002</v>
          </cell>
          <cell r="C8">
            <v>9.7837265345592409E-2</v>
          </cell>
          <cell r="D8">
            <v>-685.520065345592</v>
          </cell>
          <cell r="E8">
            <v>400.51719584337525</v>
          </cell>
          <cell r="F8">
            <v>1859.426187723526</v>
          </cell>
          <cell r="G8">
            <v>849.36991425808526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Сумма налогов</v>
          </cell>
          <cell r="B9">
            <v>1061.0312595649973</v>
          </cell>
          <cell r="D9">
            <v>250.32610199999999</v>
          </cell>
          <cell r="E9">
            <v>268.94593716867507</v>
          </cell>
          <cell r="F9">
            <v>371.88523754470521</v>
          </cell>
          <cell r="G9">
            <v>169.87398285161706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Прибыль</v>
          </cell>
          <cell r="B10">
            <v>2380.9287404350034</v>
          </cell>
          <cell r="D10">
            <v>-838.00890199999958</v>
          </cell>
          <cell r="E10">
            <v>905.14486283132533</v>
          </cell>
          <cell r="F10">
            <v>1565.8107624552947</v>
          </cell>
          <cell r="G10">
            <v>747.98201714838297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A11" t="str">
            <v>Ланской квартал</v>
          </cell>
          <cell r="B11">
            <v>81100</v>
          </cell>
          <cell r="C11">
            <v>0.35413164510844086</v>
          </cell>
        </row>
        <row r="12">
          <cell r="A12" t="str">
            <v>Ввод площадей, кв.м</v>
          </cell>
          <cell r="B12">
            <v>81100</v>
          </cell>
          <cell r="D12">
            <v>16220</v>
          </cell>
          <cell r="E12">
            <v>40550</v>
          </cell>
          <cell r="F12">
            <v>24330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Затраты по проекту</v>
          </cell>
          <cell r="B13">
            <v>21491.5</v>
          </cell>
          <cell r="D13">
            <v>4298.3</v>
          </cell>
          <cell r="E13">
            <v>10745.75</v>
          </cell>
          <cell r="F13">
            <v>6447.4500000000007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Выручка от продаж</v>
          </cell>
          <cell r="B14">
            <v>32440.000000000004</v>
          </cell>
          <cell r="D14">
            <v>0</v>
          </cell>
          <cell r="E14">
            <v>10380.800000000001</v>
          </cell>
          <cell r="F14">
            <v>12651.6</v>
          </cell>
          <cell r="G14">
            <v>4541.6000000000013</v>
          </cell>
          <cell r="H14">
            <v>4866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Налогообл.база</v>
          </cell>
          <cell r="C15">
            <v>0.31120968856006997</v>
          </cell>
          <cell r="D15">
            <v>-4609.5096885600706</v>
          </cell>
          <cell r="E15">
            <v>-5254.5484082641324</v>
          </cell>
          <cell r="F15">
            <v>700.63384088781095</v>
          </cell>
          <cell r="G15">
            <v>4323.7532180079525</v>
          </cell>
          <cell r="H15">
            <v>4679.2741868639578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Сумма налогов</v>
          </cell>
          <cell r="B16">
            <v>3337.6797491519446</v>
          </cell>
          <cell r="D16">
            <v>279.3895</v>
          </cell>
          <cell r="E16">
            <v>698.47375</v>
          </cell>
          <cell r="F16">
            <v>559.21101817756221</v>
          </cell>
          <cell r="G16">
            <v>864.75064360159058</v>
          </cell>
          <cell r="H16">
            <v>935.85483737279162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Прибыль</v>
          </cell>
          <cell r="B17">
            <v>7610.8202508480572</v>
          </cell>
          <cell r="D17">
            <v>-4577.6895000000004</v>
          </cell>
          <cell r="E17">
            <v>-1063.423749999999</v>
          </cell>
          <cell r="F17">
            <v>5644.9389818224372</v>
          </cell>
          <cell r="G17">
            <v>3676.8493563984107</v>
          </cell>
          <cell r="H17">
            <v>3930.1451626272083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A18" t="str">
            <v>Поклонная гора</v>
          </cell>
          <cell r="B18">
            <v>70000</v>
          </cell>
          <cell r="C18">
            <v>0.35210436193144484</v>
          </cell>
        </row>
        <row r="19">
          <cell r="A19" t="str">
            <v>Ввод площадей, кв.м</v>
          </cell>
          <cell r="B19">
            <v>70000</v>
          </cell>
          <cell r="D19">
            <v>0</v>
          </cell>
          <cell r="E19">
            <v>0</v>
          </cell>
          <cell r="F19">
            <v>17500</v>
          </cell>
          <cell r="G19">
            <v>24500</v>
          </cell>
          <cell r="H19">
            <v>21000</v>
          </cell>
          <cell r="I19">
            <v>7000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A20" t="str">
            <v>Затраты по проекту</v>
          </cell>
          <cell r="B20">
            <v>18550</v>
          </cell>
          <cell r="D20">
            <v>0</v>
          </cell>
          <cell r="E20">
            <v>0</v>
          </cell>
          <cell r="F20">
            <v>4637.5</v>
          </cell>
          <cell r="G20">
            <v>6492.5</v>
          </cell>
          <cell r="H20">
            <v>5565</v>
          </cell>
          <cell r="I20">
            <v>1855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A21" t="str">
            <v>Выручка от продаж</v>
          </cell>
          <cell r="B21">
            <v>28000</v>
          </cell>
          <cell r="D21">
            <v>0</v>
          </cell>
          <cell r="E21">
            <v>0</v>
          </cell>
          <cell r="G21">
            <v>4200</v>
          </cell>
          <cell r="H21">
            <v>9800</v>
          </cell>
          <cell r="I21">
            <v>7000</v>
          </cell>
          <cell r="J21">
            <v>5040</v>
          </cell>
          <cell r="K21">
            <v>1960.0000000000002</v>
          </cell>
          <cell r="L21">
            <v>0</v>
          </cell>
          <cell r="M21">
            <v>0</v>
          </cell>
        </row>
        <row r="22">
          <cell r="A22" t="str">
            <v>Налогообл.база</v>
          </cell>
          <cell r="C22">
            <v>0.26861502095197165</v>
          </cell>
          <cell r="D22">
            <v>0</v>
          </cell>
          <cell r="E22">
            <v>0</v>
          </cell>
          <cell r="F22">
            <v>-4852.392016761577</v>
          </cell>
          <cell r="G22">
            <v>-7332.9225314279574</v>
          </cell>
          <cell r="H22">
            <v>-3259.0915439991404</v>
          </cell>
          <cell r="I22">
            <v>1751.6009455248741</v>
          </cell>
          <cell r="J22">
            <v>4932.553991619211</v>
          </cell>
          <cell r="K22">
            <v>1879.4154937144087</v>
          </cell>
          <cell r="L22">
            <v>0</v>
          </cell>
          <cell r="M22">
            <v>0</v>
          </cell>
        </row>
        <row r="23">
          <cell r="A23" t="str">
            <v>Сумма налогов</v>
          </cell>
          <cell r="B23">
            <v>2918.4640861716989</v>
          </cell>
          <cell r="D23">
            <v>0</v>
          </cell>
          <cell r="E23">
            <v>0</v>
          </cell>
          <cell r="F23">
            <v>301.4375</v>
          </cell>
          <cell r="G23">
            <v>422.01249999999999</v>
          </cell>
          <cell r="H23">
            <v>361.72500000000002</v>
          </cell>
          <cell r="I23">
            <v>470.8951891049748</v>
          </cell>
          <cell r="J23">
            <v>986.51079832384221</v>
          </cell>
          <cell r="K23">
            <v>375.88309874288177</v>
          </cell>
          <cell r="L23">
            <v>0</v>
          </cell>
          <cell r="M23">
            <v>0</v>
          </cell>
        </row>
        <row r="24">
          <cell r="A24" t="str">
            <v>Прибыль</v>
          </cell>
          <cell r="B24">
            <v>6531.535913828302</v>
          </cell>
          <cell r="D24">
            <v>0</v>
          </cell>
          <cell r="E24">
            <v>0</v>
          </cell>
          <cell r="F24">
            <v>-4938.9375</v>
          </cell>
          <cell r="G24">
            <v>-2714.5124999999998</v>
          </cell>
          <cell r="H24">
            <v>3873.2750000000001</v>
          </cell>
          <cell r="I24">
            <v>4674.1048108950254</v>
          </cell>
          <cell r="J24">
            <v>4053.4892016761578</v>
          </cell>
          <cell r="K24">
            <v>1584.1169012571186</v>
          </cell>
          <cell r="L24">
            <v>0</v>
          </cell>
          <cell r="M24">
            <v>0</v>
          </cell>
        </row>
        <row r="25">
          <cell r="A25" t="str">
            <v>Лахта</v>
          </cell>
          <cell r="B25">
            <v>84000</v>
          </cell>
          <cell r="C25">
            <v>0.34862901934230878</v>
          </cell>
        </row>
        <row r="26">
          <cell r="A26" t="str">
            <v>Ввод площадей, кв.м</v>
          </cell>
          <cell r="B26">
            <v>84000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21000</v>
          </cell>
          <cell r="I26">
            <v>29399.999999999996</v>
          </cell>
          <cell r="J26">
            <v>25200</v>
          </cell>
          <cell r="K26">
            <v>8400</v>
          </cell>
          <cell r="L26">
            <v>0</v>
          </cell>
          <cell r="M26">
            <v>0</v>
          </cell>
        </row>
        <row r="27">
          <cell r="A27" t="str">
            <v>Затраты по проекту</v>
          </cell>
          <cell r="B27">
            <v>22260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5565</v>
          </cell>
          <cell r="I27">
            <v>7790.9999999999991</v>
          </cell>
          <cell r="J27">
            <v>6678</v>
          </cell>
          <cell r="K27">
            <v>2226</v>
          </cell>
          <cell r="L27">
            <v>0</v>
          </cell>
          <cell r="M27">
            <v>0</v>
          </cell>
        </row>
        <row r="28">
          <cell r="A28" t="str">
            <v>Выручка от продаж</v>
          </cell>
          <cell r="B28">
            <v>33600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5712</v>
          </cell>
          <cell r="J28">
            <v>8400</v>
          </cell>
          <cell r="K28">
            <v>11088</v>
          </cell>
          <cell r="L28">
            <v>5376</v>
          </cell>
          <cell r="M28">
            <v>3024</v>
          </cell>
        </row>
        <row r="29">
          <cell r="A29" t="str">
            <v>Налогообл.база</v>
          </cell>
          <cell r="B29">
            <v>-7791</v>
          </cell>
          <cell r="C29">
            <v>0.32233802514236598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-5758.4028150854192</v>
          </cell>
          <cell r="I29">
            <v>-7998.5718276566013</v>
          </cell>
          <cell r="J29">
            <v>-6405.5070377135471</v>
          </cell>
          <cell r="K29">
            <v>2359.7915547437424</v>
          </cell>
          <cell r="L29">
            <v>5311.5323949715266</v>
          </cell>
          <cell r="M29">
            <v>2991.7661974857633</v>
          </cell>
        </row>
        <row r="30">
          <cell r="A30" t="str">
            <v>Сумма налогов</v>
          </cell>
          <cell r="B30">
            <v>3579.5180294402062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361.72500000000002</v>
          </cell>
          <cell r="I30">
            <v>506.41499999999996</v>
          </cell>
          <cell r="J30">
            <v>434.07</v>
          </cell>
          <cell r="K30">
            <v>616.64831094874853</v>
          </cell>
          <cell r="L30">
            <v>1062.3064789943053</v>
          </cell>
          <cell r="M30">
            <v>598.35323949715269</v>
          </cell>
        </row>
        <row r="31">
          <cell r="A31" t="str">
            <v>Прибыль</v>
          </cell>
          <cell r="B31">
            <v>7760.4819705597938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-5926.7250000000004</v>
          </cell>
          <cell r="I31">
            <v>-2585.4149999999991</v>
          </cell>
          <cell r="J31">
            <v>1287.93</v>
          </cell>
          <cell r="K31">
            <v>8245.351689051251</v>
          </cell>
          <cell r="L31">
            <v>4313.6935210056945</v>
          </cell>
          <cell r="M31">
            <v>2425.6467605028474</v>
          </cell>
        </row>
        <row r="32">
          <cell r="A32" t="str">
            <v>Всего по программе</v>
          </cell>
          <cell r="B32">
            <v>-1558.2</v>
          </cell>
          <cell r="C32">
            <v>0.35164337186529393</v>
          </cell>
        </row>
        <row r="33">
          <cell r="A33" t="str">
            <v>Ввод площадей, кв.м</v>
          </cell>
          <cell r="B33">
            <v>260596</v>
          </cell>
          <cell r="D33">
            <v>30752.720000000001</v>
          </cell>
          <cell r="E33">
            <v>51513.279999999999</v>
          </cell>
          <cell r="F33">
            <v>41830</v>
          </cell>
          <cell r="G33">
            <v>24500</v>
          </cell>
          <cell r="H33">
            <v>42000</v>
          </cell>
          <cell r="I33">
            <v>36400</v>
          </cell>
          <cell r="J33">
            <v>25200</v>
          </cell>
          <cell r="K33">
            <v>8400</v>
          </cell>
          <cell r="L33">
            <v>0</v>
          </cell>
          <cell r="M33">
            <v>0</v>
          </cell>
        </row>
        <row r="34">
          <cell r="A34" t="str">
            <v>Затраты по программе</v>
          </cell>
          <cell r="B34">
            <v>69057.94</v>
          </cell>
          <cell r="D34">
            <v>8149.4708000000001</v>
          </cell>
          <cell r="E34">
            <v>13651.019200000001</v>
          </cell>
          <cell r="F34">
            <v>11084.95</v>
          </cell>
          <cell r="G34">
            <v>6492.5</v>
          </cell>
          <cell r="H34">
            <v>11130</v>
          </cell>
          <cell r="I34">
            <v>9646</v>
          </cell>
          <cell r="J34">
            <v>6678</v>
          </cell>
          <cell r="K34">
            <v>2226</v>
          </cell>
          <cell r="L34">
            <v>0</v>
          </cell>
          <cell r="M34">
            <v>0</v>
          </cell>
        </row>
        <row r="35">
          <cell r="A35" t="str">
            <v>Выручка от продаж</v>
          </cell>
          <cell r="B35">
            <v>104238.40000000001</v>
          </cell>
          <cell r="D35">
            <v>3263.4880000000003</v>
          </cell>
          <cell r="E35">
            <v>14460.160000000002</v>
          </cell>
          <cell r="F35">
            <v>14589.296</v>
          </cell>
          <cell r="G35">
            <v>9659.4560000000019</v>
          </cell>
          <cell r="H35">
            <v>14666</v>
          </cell>
          <cell r="I35">
            <v>12712</v>
          </cell>
          <cell r="J35">
            <v>13440</v>
          </cell>
          <cell r="K35">
            <v>13048</v>
          </cell>
          <cell r="L35">
            <v>5376</v>
          </cell>
          <cell r="M35">
            <v>3024</v>
          </cell>
        </row>
        <row r="36">
          <cell r="D36">
            <v>-5295.0297539056628</v>
          </cell>
          <cell r="E36">
            <v>-4854.0312124207576</v>
          </cell>
          <cell r="F36">
            <v>-2292.3319881502402</v>
          </cell>
          <cell r="G36">
            <v>-2159.7993991619196</v>
          </cell>
          <cell r="H36">
            <v>-4338.2201722206019</v>
          </cell>
          <cell r="I36">
            <v>-6246.9708821317272</v>
          </cell>
          <cell r="J36">
            <v>-1472.9530460943361</v>
          </cell>
          <cell r="K36">
            <v>4239.2070484581509</v>
          </cell>
          <cell r="L36">
            <v>5311.5323949715266</v>
          </cell>
          <cell r="M36">
            <v>2991.7661974857633</v>
          </cell>
        </row>
        <row r="37">
          <cell r="A37" t="str">
            <v>Налоги</v>
          </cell>
          <cell r="B37">
            <v>10896.693124328847</v>
          </cell>
          <cell r="D37">
            <v>529.71560199999999</v>
          </cell>
          <cell r="E37">
            <v>967.41968716867507</v>
          </cell>
          <cell r="F37">
            <v>1232.5337557222674</v>
          </cell>
          <cell r="G37">
            <v>1456.6371264532077</v>
          </cell>
          <cell r="H37">
            <v>1659.3048373727916</v>
          </cell>
          <cell r="I37">
            <v>977.31018910497482</v>
          </cell>
          <cell r="J37">
            <v>1420.5807983238421</v>
          </cell>
          <cell r="K37">
            <v>992.5314096916303</v>
          </cell>
          <cell r="L37">
            <v>1062.3064789943053</v>
          </cell>
          <cell r="M37">
            <v>598.35323949715269</v>
          </cell>
        </row>
        <row r="38">
          <cell r="A38" t="str">
            <v>Прибыль</v>
          </cell>
          <cell r="B38">
            <v>24283.766875671157</v>
          </cell>
          <cell r="D38">
            <v>-5415.698402</v>
          </cell>
          <cell r="E38">
            <v>-158.27888716867403</v>
          </cell>
          <cell r="F38">
            <v>2271.8122442777321</v>
          </cell>
          <cell r="G38">
            <v>1710.3188735467943</v>
          </cell>
          <cell r="H38">
            <v>1876.6951626272084</v>
          </cell>
          <cell r="I38">
            <v>2088.6898108950254</v>
          </cell>
          <cell r="J38">
            <v>5341.4192016761581</v>
          </cell>
          <cell r="K38">
            <v>9829.46859030837</v>
          </cell>
          <cell r="L38">
            <v>4313.6935210056945</v>
          </cell>
          <cell r="M38">
            <v>2425.6467605028474</v>
          </cell>
        </row>
        <row r="39">
          <cell r="A39" t="str">
            <v>Налоги</v>
          </cell>
        </row>
        <row r="40">
          <cell r="A40" t="str">
            <v>Ставка налога</v>
          </cell>
          <cell r="B40">
            <v>0.2</v>
          </cell>
          <cell r="C40">
            <v>0.16666666666666663</v>
          </cell>
        </row>
        <row r="41">
          <cell r="A41" t="str">
            <v xml:space="preserve">НДС </v>
          </cell>
          <cell r="B41" t="e">
            <v>#REF!</v>
          </cell>
          <cell r="C41" t="e">
            <v>#REF!</v>
          </cell>
          <cell r="D41" t="e">
            <v>#REF!</v>
          </cell>
          <cell r="E41" t="e">
            <v>#REF!</v>
          </cell>
          <cell r="F41" t="e">
            <v>#REF!</v>
          </cell>
          <cell r="G41" t="e">
            <v>#REF!</v>
          </cell>
          <cell r="H41" t="e">
            <v>#REF!</v>
          </cell>
          <cell r="I41" t="e">
            <v>#REF!</v>
          </cell>
          <cell r="J41" t="e">
            <v>#REF!</v>
          </cell>
          <cell r="K41" t="e">
            <v>#REF!</v>
          </cell>
          <cell r="L41" t="e">
            <v>#REF!</v>
          </cell>
          <cell r="M41" t="e">
            <v>#REF!</v>
          </cell>
        </row>
        <row r="42">
          <cell r="A42" t="str">
            <v>на пользователей автодорог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3">
          <cell r="A43" t="str">
            <v>Налогообл. Прибыль</v>
          </cell>
          <cell r="B43" t="e">
            <v>#REF!</v>
          </cell>
          <cell r="C43" t="e">
            <v>#REF!</v>
          </cell>
          <cell r="D43" t="e">
            <v>#REF!</v>
          </cell>
          <cell r="E43" t="e">
            <v>#REF!</v>
          </cell>
          <cell r="F43" t="e">
            <v>#REF!</v>
          </cell>
          <cell r="G43" t="e">
            <v>#REF!</v>
          </cell>
          <cell r="H43" t="e">
            <v>#REF!</v>
          </cell>
          <cell r="I43" t="e">
            <v>#REF!</v>
          </cell>
          <cell r="J43" t="e">
            <v>#REF!</v>
          </cell>
          <cell r="K43" t="e">
            <v>#REF!</v>
          </cell>
          <cell r="L43" t="e">
            <v>#REF!</v>
          </cell>
          <cell r="M43" t="e">
            <v>#REF!</v>
          </cell>
        </row>
        <row r="44">
          <cell r="A44" t="str">
            <v>на прибыль</v>
          </cell>
          <cell r="B44" t="e">
            <v>#REF!</v>
          </cell>
          <cell r="C44" t="e">
            <v>#REF!</v>
          </cell>
          <cell r="D44" t="e">
            <v>#REF!</v>
          </cell>
          <cell r="E44" t="e">
            <v>#REF!</v>
          </cell>
          <cell r="F44" t="e">
            <v>#REF!</v>
          </cell>
          <cell r="G44" t="e">
            <v>#REF!</v>
          </cell>
          <cell r="H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</row>
        <row r="45">
          <cell r="A45" t="str">
            <v>Всего налогов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7">
          <cell r="A47" t="str">
            <v>Получение кредита</v>
          </cell>
          <cell r="B47">
            <v>10000</v>
          </cell>
          <cell r="D47">
            <v>10000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A48" t="str">
            <v>Погашение кредита</v>
          </cell>
          <cell r="B48">
            <v>10000</v>
          </cell>
          <cell r="D48">
            <v>1000</v>
          </cell>
          <cell r="E48">
            <v>1000</v>
          </cell>
          <cell r="F48">
            <v>1000</v>
          </cell>
          <cell r="G48">
            <v>1000</v>
          </cell>
          <cell r="H48">
            <v>1000</v>
          </cell>
          <cell r="I48">
            <v>1000</v>
          </cell>
          <cell r="J48">
            <v>1000</v>
          </cell>
          <cell r="K48">
            <v>1000</v>
          </cell>
          <cell r="L48">
            <v>1000</v>
          </cell>
          <cell r="M48">
            <v>1000</v>
          </cell>
        </row>
        <row r="49">
          <cell r="A49" t="str">
            <v>Баланс по кредиту</v>
          </cell>
          <cell r="B49">
            <v>0</v>
          </cell>
          <cell r="D49">
            <v>10000</v>
          </cell>
          <cell r="E49">
            <v>9000</v>
          </cell>
          <cell r="F49">
            <v>8000</v>
          </cell>
          <cell r="G49">
            <v>7000</v>
          </cell>
          <cell r="H49">
            <v>6000</v>
          </cell>
          <cell r="I49">
            <v>5000</v>
          </cell>
          <cell r="J49">
            <v>4000</v>
          </cell>
          <cell r="K49">
            <v>3000</v>
          </cell>
          <cell r="L49">
            <v>2000</v>
          </cell>
          <cell r="M49">
            <v>1000</v>
          </cell>
        </row>
        <row r="50">
          <cell r="A50" t="str">
            <v>Проценты по кредиту (10% годов.)</v>
          </cell>
          <cell r="B50">
            <v>5500</v>
          </cell>
          <cell r="D50">
            <v>1000</v>
          </cell>
          <cell r="E50">
            <v>900</v>
          </cell>
          <cell r="F50">
            <v>800</v>
          </cell>
          <cell r="G50">
            <v>700</v>
          </cell>
          <cell r="H50">
            <v>600</v>
          </cell>
          <cell r="I50">
            <v>500</v>
          </cell>
          <cell r="J50">
            <v>400</v>
          </cell>
          <cell r="K50">
            <v>300</v>
          </cell>
          <cell r="L50">
            <v>200</v>
          </cell>
          <cell r="M50">
            <v>100</v>
          </cell>
        </row>
        <row r="51">
          <cell r="A51" t="str">
            <v>Ставка кредитования</v>
          </cell>
          <cell r="B51">
            <v>0.1</v>
          </cell>
        </row>
        <row r="53">
          <cell r="A53" t="str">
            <v>Денежный поток</v>
          </cell>
          <cell r="B53">
            <v>18783.766875671157</v>
          </cell>
          <cell r="D53">
            <v>-6415.698402</v>
          </cell>
          <cell r="E53">
            <v>-1058.2788871686739</v>
          </cell>
          <cell r="F53">
            <v>1471.8122442777321</v>
          </cell>
          <cell r="G53">
            <v>1010.3188735467943</v>
          </cell>
          <cell r="H53">
            <v>1276.6951626272084</v>
          </cell>
          <cell r="I53">
            <v>1588.6898108950254</v>
          </cell>
          <cell r="J53">
            <v>4941.4192016761581</v>
          </cell>
          <cell r="K53">
            <v>9529.46859030837</v>
          </cell>
          <cell r="L53">
            <v>4113.6935210056945</v>
          </cell>
          <cell r="M53">
            <v>2325.6467605028474</v>
          </cell>
        </row>
        <row r="54">
          <cell r="A54" t="str">
            <v>То же, нарастающим итогом</v>
          </cell>
          <cell r="D54">
            <v>-6415.698402</v>
          </cell>
          <cell r="E54">
            <v>-7473.9772891686735</v>
          </cell>
          <cell r="F54">
            <v>-6002.1650448909413</v>
          </cell>
          <cell r="G54">
            <v>-4991.8461713441466</v>
          </cell>
          <cell r="H54">
            <v>-3715.1510087169381</v>
          </cell>
          <cell r="I54">
            <v>-2126.4611978219127</v>
          </cell>
          <cell r="J54">
            <v>2814.9580038542454</v>
          </cell>
          <cell r="K54">
            <v>12344.426594162614</v>
          </cell>
          <cell r="L54">
            <v>16458.120115168309</v>
          </cell>
          <cell r="M54">
            <v>18783.766875671157</v>
          </cell>
        </row>
        <row r="56">
          <cell r="A56" t="str">
            <v>Вложение собственных средств</v>
          </cell>
          <cell r="B56">
            <v>0</v>
          </cell>
          <cell r="M56">
            <v>0</v>
          </cell>
        </row>
        <row r="57">
          <cell r="A57" t="str">
            <v>Изъятие собственных средств</v>
          </cell>
          <cell r="B57">
            <v>0</v>
          </cell>
          <cell r="M57">
            <v>0</v>
          </cell>
        </row>
        <row r="59">
          <cell r="A59" t="str">
            <v>Денежный баланс проекта</v>
          </cell>
          <cell r="B59">
            <v>18783.766875671157</v>
          </cell>
          <cell r="D59">
            <v>2584.301598</v>
          </cell>
          <cell r="E59">
            <v>-2058.2788871686739</v>
          </cell>
          <cell r="F59">
            <v>471.81224427773213</v>
          </cell>
          <cell r="G59">
            <v>10.318873546794293</v>
          </cell>
          <cell r="H59">
            <v>276.69516262720845</v>
          </cell>
          <cell r="I59">
            <v>588.6898108950254</v>
          </cell>
          <cell r="J59">
            <v>3941.4192016761581</v>
          </cell>
          <cell r="K59">
            <v>8529.46859030837</v>
          </cell>
          <cell r="L59">
            <v>3113.6935210056945</v>
          </cell>
          <cell r="M59">
            <v>1325.6467605028474</v>
          </cell>
        </row>
        <row r="60">
          <cell r="A60" t="str">
            <v>То же, нарастающим итогом</v>
          </cell>
          <cell r="D60">
            <v>2584.301598</v>
          </cell>
          <cell r="E60">
            <v>526.02271083132609</v>
          </cell>
          <cell r="F60">
            <v>997.83495510905823</v>
          </cell>
          <cell r="G60">
            <v>1008.1538286558525</v>
          </cell>
          <cell r="H60">
            <v>1284.848991283061</v>
          </cell>
          <cell r="I60">
            <v>1873.5388021780864</v>
          </cell>
          <cell r="J60">
            <v>5814.9580038542445</v>
          </cell>
          <cell r="K60">
            <v>14344.426594162614</v>
          </cell>
          <cell r="L60">
            <v>17458.120115168309</v>
          </cell>
          <cell r="M60">
            <v>18783.766875671157</v>
          </cell>
        </row>
        <row r="61">
          <cell r="A61" t="str">
            <v>Показатели эффективности инвестиций</v>
          </cell>
          <cell r="D61">
            <v>1</v>
          </cell>
          <cell r="E61">
            <v>2</v>
          </cell>
          <cell r="F61">
            <v>3</v>
          </cell>
          <cell r="G61">
            <v>4</v>
          </cell>
          <cell r="H61">
            <v>5</v>
          </cell>
          <cell r="I61">
            <v>6</v>
          </cell>
          <cell r="J61">
            <v>7</v>
          </cell>
          <cell r="K61">
            <v>8</v>
          </cell>
          <cell r="L61">
            <v>9</v>
          </cell>
          <cell r="M61">
            <v>10</v>
          </cell>
        </row>
        <row r="62">
          <cell r="A62" t="str">
            <v>Норма дисконта</v>
          </cell>
          <cell r="B62">
            <v>0.15</v>
          </cell>
        </row>
        <row r="63">
          <cell r="A63" t="str">
            <v>Чистый  дисконтированный доход    (NPV)</v>
          </cell>
          <cell r="B63">
            <v>3660.9659816627086</v>
          </cell>
        </row>
        <row r="64">
          <cell r="A64" t="str">
            <v>Внутренняя норма доходности   (IRR)</v>
          </cell>
          <cell r="B64">
            <v>0.23447106219828129</v>
          </cell>
        </row>
        <row r="65">
          <cell r="A65" t="str">
            <v>Срок окупаемости, лет</v>
          </cell>
          <cell r="B65">
            <v>7.5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 Calc"/>
      <sheetName val="Selling data"/>
      <sheetName val="Лист1"/>
      <sheetName val="Hidden data"/>
      <sheetName val="Rentals"/>
      <sheetName val="Selling Lessee"/>
    </sheetNames>
    <sheetDataSet>
      <sheetData sheetId="0" refreshError="1">
        <row r="23">
          <cell r="E23">
            <v>21900</v>
          </cell>
        </row>
      </sheetData>
      <sheetData sheetId="1" refreshError="1">
        <row r="7">
          <cell r="E7">
            <v>0.35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"/>
      <sheetName val="гараж_объем "/>
      <sheetName val="гараж_прс"/>
      <sheetName val="прист гар(а)_объем"/>
      <sheetName val="прист гар(а)_прс"/>
      <sheetName val="х-б прист гар_объем"/>
      <sheetName val="х-б прист гар_прс"/>
      <sheetName val="тракторный цех_объем"/>
      <sheetName val="тракторный цех_прс"/>
      <sheetName val="матер склад_объем"/>
      <sheetName val="матер_склад_прс"/>
      <sheetName val="электроцех_объем"/>
      <sheetName val="электроцех_прс"/>
      <sheetName val="управа_объем"/>
      <sheetName val="управа_прс"/>
      <sheetName val="цех затар_объем"/>
      <sheetName val="цех затар_прс"/>
      <sheetName val="магазин со скл_объем"/>
      <sheetName val="магазин со скл_прс"/>
      <sheetName val="стоимость_маш"/>
      <sheetName val="стоимость_мат"/>
      <sheetName val="разряд"/>
      <sheetName val="Rent Assumptions"/>
      <sheetName val="свед"/>
      <sheetName val="исход-итог"/>
      <sheetName val=" Assumptions"/>
      <sheetName val="гараж_объем_"/>
      <sheetName val="прист_гар(а)_объем"/>
      <sheetName val="прист_гар(а)_прс"/>
      <sheetName val="х-б_прист_гар_объем"/>
      <sheetName val="х-б_прист_гар_прс"/>
      <sheetName val="тракторный_цех_объем"/>
      <sheetName val="тракторный_цех_прс"/>
      <sheetName val="матер_склад_объем"/>
      <sheetName val="цех_затар_объем"/>
      <sheetName val="цех_затар_прс"/>
      <sheetName val="магазин_со_скл_объем"/>
      <sheetName val="магазин_со_скл_прс"/>
      <sheetName val="Rent_Assumptions"/>
      <sheetName val="Зем_Opex"/>
      <sheetName val="Арендаторы"/>
      <sheetName val="photos"/>
      <sheetName val="Rates"/>
      <sheetName val="общие сведения"/>
      <sheetName val="восст"/>
      <sheetName val="Потоки"/>
      <sheetName val="Brif_zdanie"/>
      <sheetName val="Выписка_РФИ"/>
      <sheetName val="Имущество_элементы"/>
      <sheetName val="Selling data"/>
      <sheetName val="Print Calc"/>
      <sheetName val="Параметры"/>
      <sheetName val="Glossary"/>
      <sheetName val="расч_прс_ирлен"/>
      <sheetName val="корр-ка на S аренда2"/>
      <sheetName val="общий"/>
      <sheetName val="таб_1"/>
      <sheetName val="InputTI"/>
      <sheetName val="Balance Sheet"/>
      <sheetName val="Income Statement"/>
      <sheetName val="Земля"/>
      <sheetName val="затр_подх"/>
      <sheetName val="Капвложения"/>
      <sheetName val="общие данные"/>
      <sheetName val="Метод остатка"/>
      <sheetName val="БДР"/>
      <sheetName val="БДР план"/>
      <sheetName val="П"/>
      <sheetName val="проч ОС"/>
      <sheetName val="гараж_объем_1"/>
      <sheetName val="прист_гар(а)_объем1"/>
      <sheetName val="прист_гар(а)_прс1"/>
      <sheetName val="х-б_прист_гар_объем1"/>
      <sheetName val="х-б_прист_гар_прс1"/>
      <sheetName val="тракторный_цех_объем1"/>
      <sheetName val="тракторный_цех_прс1"/>
      <sheetName val="матер_склад_объем1"/>
      <sheetName val="цех_затар_объем1"/>
      <sheetName val="цех_затар_прс1"/>
      <sheetName val="магазин_со_скл_объем1"/>
      <sheetName val="магазин_со_скл_прс1"/>
      <sheetName val="общие_сведения"/>
      <sheetName val="Rent_Assumptions1"/>
      <sheetName val="Selling_data"/>
      <sheetName val="Print_Calc"/>
      <sheetName val="корр-ка_на_S_аренда2"/>
      <sheetName val="Balance_Sheet"/>
      <sheetName val="Income_Statement"/>
      <sheetName val="общие_данные"/>
      <sheetName val="БДР_план"/>
      <sheetName val="Метод_остатка"/>
      <sheetName val="проч_ОС"/>
      <sheetName val="_Assumptions"/>
      <sheetName val="ПВД"/>
      <sheetName val="Содержание"/>
      <sheetName val="Tables"/>
      <sheetName val="Резервы"/>
      <sheetName val="ПРОГНОЗ_1"/>
      <sheetName val="Компенсация2"/>
      <sheetName val="ЛитБ"/>
      <sheetName val="Исходные"/>
      <sheetName val="Project Summary"/>
      <sheetName val="BILANS"/>
      <sheetName val="âîññò"/>
      <sheetName val="Исходные данные"/>
      <sheetName val="f1_detail"/>
      <sheetName val="таблица 8"/>
      <sheetName val="Стоим._стр-ва"/>
      <sheetName val="ap and accrual detail-n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/>
      <sheetData sheetId="9" refreshError="1"/>
      <sheetData sheetId="10"/>
      <sheetData sheetId="11" refreshError="1"/>
      <sheetData sheetId="12"/>
      <sheetData sheetId="13" refreshError="1"/>
      <sheetData sheetId="14"/>
      <sheetData sheetId="15" refreshError="1"/>
      <sheetData sheetId="16"/>
      <sheetData sheetId="17" refreshError="1"/>
      <sheetData sheetId="18"/>
      <sheetData sheetId="19"/>
      <sheetData sheetId="20"/>
      <sheetData sheetId="21" refreshError="1">
        <row r="1">
          <cell r="A1" t="str">
            <v>разряд</v>
          </cell>
          <cell r="B1" t="str">
            <v>стоим</v>
          </cell>
        </row>
        <row r="2">
          <cell r="A2" t="str">
            <v>м</v>
          </cell>
          <cell r="B2">
            <v>11.4</v>
          </cell>
        </row>
        <row r="3">
          <cell r="A3">
            <v>1</v>
          </cell>
          <cell r="B3">
            <v>7.37</v>
          </cell>
        </row>
        <row r="4">
          <cell r="A4">
            <v>1.1000000000000001</v>
          </cell>
          <cell r="B4">
            <v>7.42</v>
          </cell>
        </row>
        <row r="5">
          <cell r="A5">
            <v>1.2000000000000002</v>
          </cell>
          <cell r="B5">
            <v>7.48</v>
          </cell>
        </row>
        <row r="6">
          <cell r="A6">
            <v>1.3000000000000003</v>
          </cell>
          <cell r="B6">
            <v>7.55</v>
          </cell>
        </row>
        <row r="7">
          <cell r="A7">
            <v>1.4000000000000004</v>
          </cell>
          <cell r="B7">
            <v>7.61</v>
          </cell>
        </row>
        <row r="8">
          <cell r="A8">
            <v>1.5000000000000004</v>
          </cell>
          <cell r="B8">
            <v>7.67</v>
          </cell>
        </row>
        <row r="9">
          <cell r="A9">
            <v>1.6000000000000005</v>
          </cell>
          <cell r="B9">
            <v>7.74</v>
          </cell>
        </row>
        <row r="10">
          <cell r="A10">
            <v>1.7000000000000006</v>
          </cell>
          <cell r="B10">
            <v>7.8</v>
          </cell>
        </row>
        <row r="11">
          <cell r="A11">
            <v>1.8000000000000007</v>
          </cell>
          <cell r="B11">
            <v>7.86</v>
          </cell>
        </row>
        <row r="12">
          <cell r="A12">
            <v>1.9000000000000008</v>
          </cell>
          <cell r="B12">
            <v>7.92</v>
          </cell>
        </row>
        <row r="13">
          <cell r="A13">
            <v>2.0000000000000009</v>
          </cell>
          <cell r="B13">
            <v>7.99</v>
          </cell>
        </row>
        <row r="14">
          <cell r="A14">
            <v>2.100000000000001</v>
          </cell>
          <cell r="B14">
            <v>8.0500000000000007</v>
          </cell>
        </row>
        <row r="15">
          <cell r="A15">
            <v>2.2000000000000011</v>
          </cell>
          <cell r="B15">
            <v>8.1300000000000008</v>
          </cell>
        </row>
        <row r="16">
          <cell r="A16">
            <v>2.3000000000000012</v>
          </cell>
          <cell r="B16">
            <v>8.2100000000000009</v>
          </cell>
        </row>
        <row r="17">
          <cell r="A17">
            <v>2.4000000000000012</v>
          </cell>
          <cell r="B17">
            <v>8.2799999999999994</v>
          </cell>
        </row>
        <row r="18">
          <cell r="A18">
            <v>2.5000000000000013</v>
          </cell>
          <cell r="B18">
            <v>8.36</v>
          </cell>
        </row>
        <row r="19">
          <cell r="A19">
            <v>2.6000000000000014</v>
          </cell>
          <cell r="B19">
            <v>8.44</v>
          </cell>
        </row>
        <row r="20">
          <cell r="A20">
            <v>2.7000000000000015</v>
          </cell>
          <cell r="B20">
            <v>8.51</v>
          </cell>
        </row>
        <row r="21">
          <cell r="A21">
            <v>2.8000000000000016</v>
          </cell>
          <cell r="B21">
            <v>8.59</v>
          </cell>
        </row>
        <row r="22">
          <cell r="A22">
            <v>2.9000000000000017</v>
          </cell>
          <cell r="B22">
            <v>8.66</v>
          </cell>
        </row>
        <row r="23">
          <cell r="A23">
            <v>3.0000000000000018</v>
          </cell>
          <cell r="B23">
            <v>8.74</v>
          </cell>
        </row>
        <row r="24">
          <cell r="A24">
            <v>3.1000000000000019</v>
          </cell>
          <cell r="B24">
            <v>8.84</v>
          </cell>
        </row>
        <row r="25">
          <cell r="A25">
            <v>3.200000000000002</v>
          </cell>
          <cell r="B25">
            <v>8.9600000000000009</v>
          </cell>
        </row>
        <row r="26">
          <cell r="A26">
            <v>3.300000000000002</v>
          </cell>
          <cell r="B26">
            <v>9.07</v>
          </cell>
        </row>
        <row r="27">
          <cell r="A27">
            <v>3.4000000000000021</v>
          </cell>
          <cell r="B27">
            <v>9.19</v>
          </cell>
        </row>
        <row r="28">
          <cell r="A28">
            <v>3.5000000000000022</v>
          </cell>
          <cell r="B28">
            <v>9.3000000000000007</v>
          </cell>
        </row>
        <row r="29">
          <cell r="A29">
            <v>3.6000000000000023</v>
          </cell>
          <cell r="B29">
            <v>9.41</v>
          </cell>
        </row>
        <row r="30">
          <cell r="A30">
            <v>3.7000000000000024</v>
          </cell>
          <cell r="B30">
            <v>9.52</v>
          </cell>
        </row>
        <row r="31">
          <cell r="A31">
            <v>3.8000000000000025</v>
          </cell>
          <cell r="B31">
            <v>9.6300000000000008</v>
          </cell>
        </row>
        <row r="32">
          <cell r="A32">
            <v>3.9000000000000026</v>
          </cell>
          <cell r="B32">
            <v>9.75</v>
          </cell>
        </row>
        <row r="33">
          <cell r="A33">
            <v>4.0000000000000027</v>
          </cell>
          <cell r="B33">
            <v>9.86</v>
          </cell>
        </row>
        <row r="34">
          <cell r="A34">
            <v>4.1000000000000023</v>
          </cell>
          <cell r="B34">
            <v>10</v>
          </cell>
        </row>
        <row r="35">
          <cell r="A35">
            <v>4.200000000000002</v>
          </cell>
          <cell r="B35">
            <v>10.199999999999999</v>
          </cell>
        </row>
        <row r="36">
          <cell r="A36">
            <v>4.3000000000000016</v>
          </cell>
          <cell r="B36">
            <v>10.3</v>
          </cell>
        </row>
        <row r="37">
          <cell r="A37">
            <v>4.4000000000000012</v>
          </cell>
          <cell r="B37">
            <v>10.5</v>
          </cell>
        </row>
        <row r="38">
          <cell r="A38">
            <v>4.5000000000000009</v>
          </cell>
          <cell r="B38">
            <v>10.6</v>
          </cell>
        </row>
        <row r="39">
          <cell r="A39">
            <v>4.6000000000000005</v>
          </cell>
          <cell r="B39">
            <v>10.8</v>
          </cell>
        </row>
        <row r="40">
          <cell r="A40">
            <v>4.7</v>
          </cell>
          <cell r="B40">
            <v>10.9</v>
          </cell>
        </row>
        <row r="41">
          <cell r="A41">
            <v>4.8</v>
          </cell>
          <cell r="B41">
            <v>11.1</v>
          </cell>
        </row>
        <row r="42">
          <cell r="A42">
            <v>4.8999999999999995</v>
          </cell>
          <cell r="B42">
            <v>11.2</v>
          </cell>
        </row>
        <row r="43">
          <cell r="A43">
            <v>4.9999999999999991</v>
          </cell>
          <cell r="B43">
            <v>11.4</v>
          </cell>
        </row>
        <row r="44">
          <cell r="A44">
            <v>5.0999999999999988</v>
          </cell>
          <cell r="B44">
            <v>11.5</v>
          </cell>
        </row>
        <row r="45">
          <cell r="A45">
            <v>5.1999999999999984</v>
          </cell>
          <cell r="B45">
            <v>11.7</v>
          </cell>
        </row>
        <row r="46">
          <cell r="A46">
            <v>5.299999999999998</v>
          </cell>
          <cell r="B46">
            <v>11.9</v>
          </cell>
        </row>
        <row r="47">
          <cell r="A47">
            <v>5.3999999999999977</v>
          </cell>
          <cell r="B47">
            <v>12.1</v>
          </cell>
        </row>
        <row r="48">
          <cell r="A48">
            <v>5.4999999999999973</v>
          </cell>
          <cell r="B48">
            <v>12.3</v>
          </cell>
        </row>
        <row r="49">
          <cell r="A49">
            <v>5.599999999999997</v>
          </cell>
          <cell r="B49">
            <v>12.5</v>
          </cell>
        </row>
        <row r="50">
          <cell r="A50">
            <v>5.6999999999999966</v>
          </cell>
          <cell r="B50">
            <v>12.7</v>
          </cell>
        </row>
        <row r="51">
          <cell r="A51">
            <v>5.7999999999999963</v>
          </cell>
          <cell r="B51">
            <v>12.9</v>
          </cell>
        </row>
        <row r="52">
          <cell r="A52">
            <v>5.8999999999999959</v>
          </cell>
          <cell r="B52">
            <v>13</v>
          </cell>
        </row>
        <row r="53">
          <cell r="A53">
            <v>5.9999999999999956</v>
          </cell>
          <cell r="B53">
            <v>13.2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ЭП"/>
      <sheetName val="Assu."/>
      <sheetName val="CF"/>
      <sheetName val="Hotel"/>
      <sheetName val="Costs"/>
    </sheetNames>
    <sheetDataSet>
      <sheetData sheetId="0"/>
      <sheetData sheetId="1" refreshError="1"/>
      <sheetData sheetId="2"/>
      <sheetData sheetId="3">
        <row r="9">
          <cell r="D9">
            <v>30</v>
          </cell>
        </row>
      </sheetData>
      <sheetData sheetId="4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Summary"/>
      <sheetName val="Упрощенный расчет"/>
      <sheetName val="DCF full"/>
      <sheetName val="DCF-short"/>
      <sheetName val="Предпосылки"/>
      <sheetName val="Концепция"/>
      <sheetName val="Площади"/>
      <sheetName val="Сети"/>
      <sheetName val="График реализации"/>
      <sheetName val="Платежи за землю"/>
      <sheetName val="Инвестиционные затраты"/>
      <sheetName val="Финансирование"/>
      <sheetName val="Доходы от реализации"/>
      <sheetName val="План-график жилая"/>
      <sheetName val="План-график коммерческая недвиж"/>
      <sheetName val="Отель"/>
      <sheetName val="Налоги"/>
      <sheetName val="Земля"/>
      <sheetName val="Предварительные результаты"/>
      <sheetName val="CashFlow"/>
      <sheetName val="Итоговые результаты"/>
      <sheetName val="Инвест-контракты"/>
      <sheetName val="Анализ чувствительности"/>
      <sheetName val="Сценарии"/>
    </sheetNames>
    <sheetDataSet>
      <sheetData sheetId="0"/>
      <sheetData sheetId="1"/>
      <sheetData sheetId="2"/>
      <sheetData sheetId="3">
        <row r="269">
          <cell r="G269">
            <v>2018</v>
          </cell>
        </row>
      </sheetData>
      <sheetData sheetId="4"/>
      <sheetData sheetId="5">
        <row r="85">
          <cell r="B85" t="str">
            <v>Жилье комфорт</v>
          </cell>
        </row>
        <row r="86">
          <cell r="B86" t="str">
            <v>Жилье бизнес</v>
          </cell>
        </row>
        <row r="87">
          <cell r="B87" t="str">
            <v>Таунхаузы</v>
          </cell>
        </row>
        <row r="123">
          <cell r="E123">
            <v>0.18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"/>
      <sheetName val="табл. 5.1"/>
      <sheetName val="Лист1"/>
      <sheetName val="табл. 5.2 (2)"/>
      <sheetName val="Выручка комб."/>
      <sheetName val="Кап. влож"/>
      <sheetName val="экспл.комб."/>
      <sheetName val="поток комб. "/>
      <sheetName val="доход комб."/>
      <sheetName val="доход комб.окр."/>
      <sheetName val="АНАЛИЗ  ЧУВСТ."/>
      <sheetName val="Анализ чув-ти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</sheetNames>
    <definedNames>
      <definedName name="ReturnMain"/>
    </definedNames>
    <sheetDataSet>
      <sheetData sheetId="0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_Price"/>
      <sheetName val="Rental_Rate"/>
      <sheetName val="Sheet3"/>
      <sheetName val="Vacancy"/>
      <sheetName val="Existing"/>
      <sheetName val="ГК"/>
      <sheetName val="Sheet2"/>
      <sheetName val="2014"/>
      <sheetName val="UC_and_P"/>
      <sheetName val="2015"/>
      <sheetName val="Weight average"/>
      <sheetName val="op.ex."/>
      <sheetName val="op.ex._tables"/>
      <sheetName val="Sheet1"/>
      <sheetName val="DropDownList"/>
      <sheetName val="Shee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D1" t="str">
            <v>$</v>
          </cell>
          <cell r="G1" t="str">
            <v>New</v>
          </cell>
        </row>
        <row r="2">
          <cell r="D2" t="str">
            <v>€</v>
          </cell>
          <cell r="G2" t="str">
            <v>Ref</v>
          </cell>
        </row>
        <row r="3">
          <cell r="D3" t="str">
            <v>rur</v>
          </cell>
          <cell r="G3" t="str">
            <v>New + Ref</v>
          </cell>
        </row>
        <row r="4">
          <cell r="D4" t="str">
            <v>($+€)/2</v>
          </cell>
        </row>
        <row r="5">
          <cell r="D5" t="str">
            <v>cu</v>
          </cell>
        </row>
      </sheetData>
      <sheetData sheetId="15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прель "/>
      <sheetName val="пр-во"/>
      <sheetName val="Свод-1"/>
      <sheetName val="DB2002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М"/>
      <sheetName val="сдтар"/>
      <sheetName val="топл."/>
      <sheetName val="вспом."/>
      <sheetName val="АУП 1"/>
      <sheetName val="зпосн"/>
      <sheetName val="запл.всм"/>
      <sheetName val="смета"/>
      <sheetName val="сырье"/>
      <sheetName val="пр-во"/>
      <sheetName val="цель."/>
      <sheetName val="сгущ."/>
      <sheetName val="кал.сг."/>
      <sheetName val="Свод-1"/>
      <sheetName val="пр_во"/>
      <sheetName val="топл_"/>
      <sheetName val="вспом_"/>
      <sheetName val="АУП_1"/>
      <sheetName val="запл_всм"/>
      <sheetName val="цель_"/>
      <sheetName val="сгущ_"/>
      <sheetName val="кал_сг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1">
          <cell r="X11">
            <v>3.6309999999999998</v>
          </cell>
        </row>
        <row r="14">
          <cell r="Y14">
            <v>102.51845452999999</v>
          </cell>
          <cell r="AA14">
            <v>70.031096999999988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екторам"/>
      <sheetName val="с учетом эволюции"/>
      <sheetName val="по направлениям"/>
      <sheetName val="Sheet3"/>
      <sheetName val="Сделки"/>
      <sheetName val="Sheet1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CBD</v>
          </cell>
        </row>
        <row r="2">
          <cell r="A2" t="str">
            <v>Elektrozavodskiy</v>
          </cell>
        </row>
        <row r="3">
          <cell r="A3" t="str">
            <v>Leningradskiy</v>
          </cell>
        </row>
        <row r="4">
          <cell r="A4" t="str">
            <v>Leninskiy</v>
          </cell>
        </row>
        <row r="5">
          <cell r="A5" t="str">
            <v>Moscow-City</v>
          </cell>
        </row>
        <row r="6">
          <cell r="A6" t="str">
            <v>Other_E</v>
          </cell>
        </row>
        <row r="7">
          <cell r="A7" t="str">
            <v>Other_N</v>
          </cell>
        </row>
        <row r="8">
          <cell r="A8" t="str">
            <v>Other_NE</v>
          </cell>
        </row>
        <row r="9">
          <cell r="A9" t="str">
            <v>Other_NW</v>
          </cell>
        </row>
        <row r="10">
          <cell r="A10" t="str">
            <v>Other_S</v>
          </cell>
        </row>
        <row r="11">
          <cell r="A11" t="str">
            <v>Other_SE</v>
          </cell>
        </row>
        <row r="12">
          <cell r="A12" t="str">
            <v>Other_SW</v>
          </cell>
        </row>
        <row r="13">
          <cell r="A13" t="str">
            <v>Other_W</v>
          </cell>
        </row>
        <row r="14">
          <cell r="A14" t="str">
            <v>Suschevskiy</v>
          </cell>
        </row>
        <row r="15">
          <cell r="A15" t="str">
            <v>Tulskiy</v>
          </cell>
        </row>
      </sheetData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бочий"/>
      <sheetName val="Содержание"/>
      <sheetName val="Финанс. калькулятор"/>
      <sheetName val="Чист. операц. доход"/>
      <sheetName val="Прямая_капит."/>
      <sheetName val="Дисконт."/>
      <sheetName val="Анализ_риска"/>
      <sheetName val="Сравн._продаж"/>
      <sheetName val="Отн._анализ"/>
      <sheetName val="Стоим._земли"/>
      <sheetName val="Стоим._стр-ва"/>
      <sheetName val="Объемы работ"/>
      <sheetName val="Оценка_износа"/>
      <sheetName val="Наилуч._использ."/>
      <sheetName val="Регрессия"/>
      <sheetName val="Макросы1"/>
      <sheetName val="Макросы2"/>
      <sheetName val="разряд"/>
      <sheetName val="исход-итог"/>
      <sheetName val="FES"/>
      <sheetName val="РМ"/>
      <sheetName val="KKSU"/>
      <sheetName val="финплан стр.п."/>
      <sheetName val="описание"/>
      <sheetName val="Исход.инф."/>
      <sheetName val="НФИк"/>
      <sheetName val="общие сведения"/>
      <sheetName val="Осн_данн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верка 07"/>
      <sheetName val="БД платежи"/>
      <sheetName val="Классификатор затрат"/>
      <sheetName val="Отделы"/>
      <sheetName val="БД поступления"/>
      <sheetName val="Классификатор доходов"/>
      <sheetName val=" daily 2003"/>
      <sheetName val="ЛИСТ 1 бюджет 2003"/>
      <sheetName val="ЛИСТ 2 затраты 2003"/>
      <sheetName val="ЛИСТ 3 инвест 2003"/>
      <sheetName val="04-05-2003"/>
      <sheetName val="Депозиты"/>
      <sheetName val="Inflow"/>
      <sheetName val="Form CF"/>
      <sheetName val="Form Budget"/>
      <sheetName val="Form CF decads"/>
      <sheetName val="Лист1"/>
      <sheetName val="Бюджет доходов"/>
      <sheetName val="Бюджет расходов"/>
      <sheetName val="Кл-р SysTel"/>
      <sheetName val="Департаменты"/>
      <sheetName val="Проекты"/>
      <sheetName val="InterCompanies"/>
      <sheetName val="проверка 06"/>
      <sheetName val="FOREX"/>
      <sheetName val="Кл_р SysTel"/>
      <sheetName val="01-2003"/>
      <sheetName val="02-2003"/>
      <sheetName val="03-2003"/>
      <sheetName val="трансформация1"/>
      <sheetName val="Mapping"/>
      <sheetName val="обслуживание"/>
      <sheetName val="Общая информация"/>
      <sheetName val="Курс $"/>
      <sheetName val="Budget Корнет"/>
      <sheetName val="BS RAS"/>
      <sheetName val="списки"/>
      <sheetName val="6m-2003 факт без бартера"/>
      <sheetName val="Ф2Б"/>
      <sheetName val="Справочник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общий"/>
      <sheetName val="Налог на имущество (2)"/>
      <sheetName val="Расчет НЭИ"/>
      <sheetName val="Сравн торг земля (2)"/>
      <sheetName val="Сравн земля пр-во (2)"/>
      <sheetName val="Сравн земля АС (2)"/>
      <sheetName val="ЛИСТ"/>
      <sheetName val="пр-ас"/>
      <sheetName val="константы"/>
      <sheetName val="инж сети физ изн"/>
      <sheetName val="котельная"/>
      <sheetName val="эксп. А1"/>
      <sheetName val="ВС А1"/>
      <sheetName val="Физ.износ А1"/>
      <sheetName val="Затратный (А1)"/>
      <sheetName val="экспл.А2-А5"/>
      <sheetName val="ВС  Лит.А2-А5"/>
      <sheetName val="Физ.износ  А2-А5"/>
      <sheetName val="ведомость"/>
      <sheetName val="Затратный А2-А5"/>
      <sheetName val="ВС  Лит.А6 А7"/>
      <sheetName val="Затратный А6-А7"/>
      <sheetName val="ВС  Лит.Б1-Б5, Б7"/>
      <sheetName val="Физ.износ "/>
      <sheetName val="ВС  Лит.Б6"/>
      <sheetName val="Затратный Б"/>
      <sheetName val="ВС  Лит.В1"/>
      <sheetName val="Физ.износ В1 "/>
      <sheetName val="Затратный В1"/>
      <sheetName val="экспл."/>
      <sheetName val="ВС  Лит.В2"/>
      <sheetName val="Физ.износ В2"/>
      <sheetName val="Затратный В2"/>
      <sheetName val="ВС  Лит.В3 В4"/>
      <sheetName val="Физ.износ В3 В4"/>
      <sheetName val="Затратный В3-В4"/>
      <sheetName val="ВС  Лит.В5"/>
      <sheetName val="Физ.износ В5"/>
      <sheetName val="Затратный В5"/>
      <sheetName val="ВС  Лит.В6"/>
      <sheetName val="Физ.износ В6"/>
      <sheetName val="Затратный В6"/>
      <sheetName val="ИС"/>
      <sheetName val="Сумма зтр"/>
      <sheetName val="Смета А1 нов.стр."/>
      <sheetName val="Смета А2-а7 нов.стр-во"/>
      <sheetName val="Смета Б Нов.стр"/>
      <sheetName val="Смета Лит.В1 В3 В4 нов"/>
      <sheetName val="Смета Лит.В2 В5 В6 нов.стр"/>
      <sheetName val="Экспликация (НС)"/>
      <sheetName val="Сравн торг по земле"/>
      <sheetName val="Сравн Офис для земли"/>
      <sheetName val="Сравн пр-во для земли"/>
      <sheetName val="Сравн Автосерв для земли"/>
      <sheetName val="Итог по сравнит"/>
      <sheetName val="Расчет НЭИ по новому"/>
      <sheetName val="Налог на имущество"/>
      <sheetName val="Земля по 2 мет"/>
      <sheetName val="сравн здания торг оф"/>
      <sheetName val="сравнит пр-ас-1"/>
      <sheetName val="Смета Кап.ремонт Б1-Б3"/>
      <sheetName val="земля с улучшениями (2)"/>
      <sheetName val="Налог на имущество (3)"/>
      <sheetName val="Итог рын ст"/>
      <sheetName val="исход-итог"/>
      <sheetName val="Ключевые данные"/>
      <sheetName val="Финпоказатели"/>
      <sheetName val="Резервы"/>
      <sheetName val="общее"/>
      <sheetName val="Метод остатка"/>
      <sheetName val="Общие сведения"/>
      <sheetName val="общий"/>
      <sheetName val="Оглавление"/>
      <sheetName val="Ставка Д"/>
      <sheetName val="Осн_данные"/>
      <sheetName val="Данные"/>
      <sheetName val="Опции"/>
      <sheetName val="Проект"/>
    </sheetNames>
    <sheetDataSet>
      <sheetData sheetId="0">
        <row r="7">
          <cell r="C7">
            <v>0.14299999999999999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7">
          <cell r="C7">
            <v>0.14299999999999999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 refreshError="1"/>
      <sheetData sheetId="57"/>
      <sheetData sheetId="58" refreshError="1"/>
      <sheetData sheetId="59" refreshError="1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"/>
      <sheetName val="BALANCE"/>
      <sheetName val="P&amp;L"/>
      <sheetName val="CASHFLOW"/>
      <sheetName val="ECONOMIC DATA"/>
      <sheetName val="TRAFFIC PARM"/>
      <sheetName val="TRAFFIC CALC"/>
      <sheetName val="COIN TRAFFIC MODEL"/>
      <sheetName val="DELTA"/>
      <sheetName val="REGIONS"/>
      <sheetName val="VOICEMAIL"/>
      <sheetName val="ADVANCES (PARM)"/>
      <sheetName val="ADVANCES $"/>
      <sheetName val="CONTRIBUTION_UNITS"/>
      <sheetName val="CONTRIBUTION"/>
      <sheetName val="CARDS"/>
      <sheetName val="PAPER_CARDS"/>
      <sheetName val="G&amp;A COSTS"/>
      <sheetName val="SPARES - PAYPHONES"/>
      <sheetName val="SPARES - BOOTHS"/>
      <sheetName val="STAFF"/>
      <sheetName val="SALARIES"/>
      <sheetName val="SALARY"/>
      <sheetName val="CAPEX"/>
      <sheetName val="FIXED ASSETS"/>
      <sheetName val="SETTL - USD"/>
      <sheetName val="SETTL - RBL"/>
      <sheetName val="FINANCING"/>
      <sheetName val="VAT"/>
      <sheetName val="Russian P&amp;L"/>
      <sheetName val="Russian VAT"/>
      <sheetName val="Requests"/>
      <sheetName val="Initial outlay data"/>
      <sheetName val="Temp"/>
      <sheetName val="FUNCTIONS"/>
      <sheetName val="1"/>
      <sheetName val="JAG"/>
      <sheetName val="Оценка стоимости активов"/>
      <sheetName val="BS"/>
      <sheetName val="XLR_NoRangeSheet"/>
      <sheetName val="трансформация1"/>
      <sheetName val="MT"/>
      <sheetName val="Общ."/>
      <sheetName val="создание списков"/>
      <sheetName val="осв ОАО (2)"/>
      <sheetName val="Ф2Б"/>
      <sheetName val="CREDIT STATS"/>
      <sheetName val="Assumptions"/>
      <sheetName val="Assumptions and Inputs"/>
      <sheetName val="Adjustment schedule"/>
      <sheetName val="Bp2001est4"/>
      <sheetName val="Фил ref list"/>
      <sheetName val="Лист2"/>
      <sheetName val="Library"/>
      <sheetName val="Notes"/>
      <sheetName val="XREF"/>
      <sheetName val="Graph_support"/>
      <sheetName val="БДДС"/>
      <sheetName val="FES"/>
      <sheetName val="Справочник ЦФО"/>
      <sheetName val="МВЗ"/>
      <sheetName val="Справочник МВЗ"/>
      <sheetName val="Список"/>
      <sheetName val="Лист1"/>
      <sheetName val="ф сплавы"/>
      <sheetName val="Инфо"/>
      <sheetName val="S 60"/>
      <sheetName val="Client Information"/>
      <sheetName val="proforma"/>
      <sheetName val="Read me first"/>
      <sheetName val=" Lifting Costs млн.руб."/>
      <sheetName val="Serv"/>
      <sheetName val="welldata frac analysis"/>
      <sheetName val="январь"/>
      <sheetName val="Компании"/>
      <sheetName val="Balance Sheet"/>
      <sheetName val="Income Statement"/>
      <sheetName val="Курс USD, Euro, SDR"/>
      <sheetName val="ECONOMIC_DATA"/>
      <sheetName val="TRAFFIC_PARM"/>
      <sheetName val="TRAFFIC_CALC"/>
      <sheetName val="COIN_TRAFFIC_MODEL"/>
      <sheetName val="ADVANCES_(PARM)"/>
      <sheetName val="ADVANCES_$"/>
      <sheetName val="G&amp;A_COSTS"/>
      <sheetName val="SPARES_-_PAYPHONES"/>
      <sheetName val="SPARES_-_BOOTHS"/>
      <sheetName val="FIXED_ASSETS"/>
      <sheetName val="SETTL_-_USD"/>
      <sheetName val="SETTL_-_RBL"/>
      <sheetName val="Russian_P&amp;L"/>
      <sheetName val="Russian_VAT"/>
      <sheetName val="Initial_outlay_data"/>
      <sheetName val="Справочник_ЦФО"/>
      <sheetName val="Справочник_МВЗ"/>
      <sheetName val="Assumptions_and_Inputs"/>
      <sheetName val="Оценка_стоимости_активов"/>
      <sheetName val="Свод"/>
      <sheetName val="a) Core Financials"/>
      <sheetName val="Control Panel"/>
      <sheetName val="Reference"/>
      <sheetName val="T1"/>
      <sheetName val="5"/>
      <sheetName val="Свод 2019"/>
      <sheetName val="Приозерск 2019"/>
      <sheetName val=" Уренгой 2019"/>
      <sheetName val="Лист4"/>
      <sheetName val="КЯЛ 2019"/>
      <sheetName val="Лист3"/>
      <sheetName val="Лист5"/>
      <sheetName val="Лист6"/>
      <sheetName val="СХВ 2018"/>
      <sheetName val="КЯЛ 2019 (20сч)"/>
      <sheetName val="КЯЛ_91 2019"/>
      <sheetName val="Починки"/>
      <sheetName val="СЕГ2 2019"/>
      <sheetName val="Лист14"/>
      <sheetName val="свДох 2019"/>
      <sheetName val="Доходы с аналитикой"/>
      <sheetName val="свТаб 2019"/>
      <sheetName val="Лист8"/>
      <sheetName val="Сводная с расшифровк "/>
      <sheetName val="Сводная с расшифровк  (4)"/>
      <sheetName val="распр. СРЭ остаток 1кв."/>
      <sheetName val="Сводная с расшифровк  (2)"/>
      <sheetName val="КЯЛ 2019 (2)"/>
      <sheetName val="Стр_Анализ"/>
      <sheetName val="свРасх_по годам"/>
      <sheetName val="ГРС Ильичево"/>
      <sheetName val="Сводная с расшифровк  (3)"/>
      <sheetName val="Спецремэнерго апр."/>
      <sheetName val="Доходы с расшифровкой"/>
      <sheetName val="БУ 90"/>
      <sheetName val="ПЛАН 2019"/>
      <sheetName val="Лист7"/>
      <sheetName val="Сводная ПРОЧИЕ"/>
      <sheetName val="Дох_по_годам"/>
      <sheetName val="зп"/>
      <sheetName val="Общ_"/>
      <sheetName val="создание_списков"/>
      <sheetName val="осв_ОАО_(2)"/>
      <sheetName val="CREDIT_STATS"/>
      <sheetName val="Справочник"/>
      <sheetName val="списки"/>
      <sheetName val="затраты"/>
      <sheetName val="СВ"/>
      <sheetName val="исходные данные"/>
      <sheetName val="Citrix замена "/>
      <sheetName val="Adjustment_schedule"/>
      <sheetName val="Фил_ref_list"/>
      <sheetName val="Доп инф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A3" t="str">
            <v>TABLE 4</v>
          </cell>
          <cell r="B3" t="str">
            <v>ref.</v>
          </cell>
          <cell r="C3" t="str">
            <v>units</v>
          </cell>
          <cell r="D3" t="str">
            <v>ТАБЛИЦА 4</v>
          </cell>
          <cell r="E3" t="str">
            <v>ед.
изм.</v>
          </cell>
          <cell r="F3" t="str">
            <v>ref.</v>
          </cell>
        </row>
        <row r="5">
          <cell r="A5" t="str">
            <v>$/RUR EXCHANGE RATE</v>
          </cell>
          <cell r="B5" t="str">
            <v>input</v>
          </cell>
          <cell r="C5" t="str">
            <v>rbl</v>
          </cell>
          <cell r="D5" t="str">
            <v>КУРС ДОЛЛАРА</v>
          </cell>
          <cell r="E5" t="str">
            <v>input</v>
          </cell>
          <cell r="F5" t="str">
            <v>руб.</v>
          </cell>
        </row>
        <row r="6">
          <cell r="A6" t="str">
            <v>FRF/RUR EXCHANGE RATE</v>
          </cell>
          <cell r="B6" t="str">
            <v>input</v>
          </cell>
          <cell r="C6" t="str">
            <v>rbl</v>
          </cell>
          <cell r="D6" t="str">
            <v>КУРС ФРАНЦУЗСКОГО ФРАНКА</v>
          </cell>
          <cell r="E6" t="str">
            <v>input</v>
          </cell>
          <cell r="F6" t="str">
            <v>руб.</v>
          </cell>
        </row>
        <row r="7">
          <cell r="A7" t="str">
            <v>DKK/RUR EXCHANGE RATE</v>
          </cell>
          <cell r="B7" t="str">
            <v>input</v>
          </cell>
          <cell r="C7" t="str">
            <v>rbl</v>
          </cell>
          <cell r="D7" t="str">
            <v>КУРС ДАТСКОЙ КРОНЫ</v>
          </cell>
          <cell r="E7" t="str">
            <v>input</v>
          </cell>
          <cell r="F7" t="str">
            <v>руб.</v>
          </cell>
        </row>
        <row r="8">
          <cell r="A8" t="str">
            <v>DKK/$ EXCHANGE RATE</v>
          </cell>
          <cell r="B8" t="str">
            <v>Calc.</v>
          </cell>
          <cell r="C8" t="str">
            <v>DKK</v>
          </cell>
          <cell r="D8" t="str">
            <v>КУРС ДОЛЛАРА В ДАТСКИХ КРОНАХ</v>
          </cell>
          <cell r="E8" t="str">
            <v>Calc.</v>
          </cell>
          <cell r="F8" t="str">
            <v>DKK</v>
          </cell>
        </row>
        <row r="10">
          <cell r="A10" t="str">
            <v>TAX RATES</v>
          </cell>
          <cell r="D10" t="str">
            <v>НАЛОГИ</v>
          </cell>
        </row>
        <row r="11">
          <cell r="A11" t="str">
            <v>-VAT</v>
          </cell>
          <cell r="B11" t="str">
            <v>input</v>
          </cell>
          <cell r="C11" t="str">
            <v>%</v>
          </cell>
          <cell r="D11" t="str">
            <v>-НДС</v>
          </cell>
          <cell r="E11" t="str">
            <v>input</v>
          </cell>
          <cell r="F11" t="str">
            <v>%</v>
          </cell>
        </row>
        <row r="12">
          <cell r="A12" t="str">
            <v xml:space="preserve">-Road tax </v>
          </cell>
          <cell r="B12" t="str">
            <v>input</v>
          </cell>
          <cell r="C12" t="str">
            <v>%</v>
          </cell>
          <cell r="D12" t="str">
            <v>-Налог в дорожные фонды</v>
          </cell>
          <cell r="E12" t="str">
            <v>input</v>
          </cell>
          <cell r="F12" t="str">
            <v>%</v>
          </cell>
        </row>
        <row r="13">
          <cell r="A13" t="str">
            <v xml:space="preserve">-Housing tax </v>
          </cell>
          <cell r="B13" t="str">
            <v>input</v>
          </cell>
          <cell r="C13" t="str">
            <v>%</v>
          </cell>
          <cell r="D13" t="str">
            <v xml:space="preserve">-Жилищиный налог </v>
          </cell>
          <cell r="E13" t="str">
            <v>input</v>
          </cell>
          <cell r="F13" t="str">
            <v>%</v>
          </cell>
        </row>
        <row r="14">
          <cell r="A14" t="str">
            <v>-Social payments</v>
          </cell>
          <cell r="B14" t="str">
            <v>input</v>
          </cell>
          <cell r="C14" t="str">
            <v>%</v>
          </cell>
          <cell r="D14" t="str">
            <v>-Выплаты в социальные фонды</v>
          </cell>
          <cell r="E14" t="str">
            <v>input</v>
          </cell>
          <cell r="F14" t="str">
            <v>%</v>
          </cell>
        </row>
        <row r="15">
          <cell r="A15" t="str">
            <v>-Minimum salary</v>
          </cell>
          <cell r="B15" t="str">
            <v>input</v>
          </cell>
          <cell r="C15" t="str">
            <v>rbl</v>
          </cell>
          <cell r="D15" t="str">
            <v>-Минимальный размер оплаты труда</v>
          </cell>
          <cell r="E15" t="str">
            <v>input</v>
          </cell>
          <cell r="F15" t="str">
            <v>руб.</v>
          </cell>
        </row>
        <row r="16">
          <cell r="A16" t="str">
            <v>-Sales tax</v>
          </cell>
          <cell r="B16" t="str">
            <v>input</v>
          </cell>
          <cell r="C16" t="str">
            <v>%</v>
          </cell>
          <cell r="D16" t="str">
            <v>-Налог с продаж</v>
          </cell>
          <cell r="E16" t="str">
            <v>input</v>
          </cell>
          <cell r="F16" t="str">
            <v>%</v>
          </cell>
        </row>
        <row r="17">
          <cell r="A17" t="str">
            <v>-Profit tax</v>
          </cell>
          <cell r="B17" t="str">
            <v>input</v>
          </cell>
          <cell r="C17" t="str">
            <v>%</v>
          </cell>
          <cell r="D17" t="str">
            <v>-Налог на прибыль</v>
          </cell>
          <cell r="E17" t="str">
            <v>input</v>
          </cell>
          <cell r="F17" t="str">
            <v>%</v>
          </cell>
        </row>
        <row r="18">
          <cell r="A18" t="str">
            <v xml:space="preserve">-Public safety tax </v>
          </cell>
          <cell r="B18" t="str">
            <v>input</v>
          </cell>
          <cell r="C18" t="str">
            <v>%</v>
          </cell>
          <cell r="D18" t="str">
            <v>-Налог на правоохранительные органы</v>
          </cell>
          <cell r="E18" t="str">
            <v>input</v>
          </cell>
          <cell r="F18" t="str">
            <v>%</v>
          </cell>
        </row>
        <row r="19">
          <cell r="A19" t="str">
            <v>-Car purchase tax</v>
          </cell>
          <cell r="B19" t="str">
            <v>input</v>
          </cell>
          <cell r="C19" t="str">
            <v>%</v>
          </cell>
          <cell r="D19" t="str">
            <v>-Налог на приобретение автомобилей</v>
          </cell>
          <cell r="E19" t="str">
            <v>input</v>
          </cell>
          <cell r="F19" t="str">
            <v>%</v>
          </cell>
        </row>
        <row r="20">
          <cell r="A20" t="str">
            <v>-Property tax</v>
          </cell>
          <cell r="B20" t="str">
            <v>input</v>
          </cell>
          <cell r="C20" t="str">
            <v>%</v>
          </cell>
          <cell r="D20" t="str">
            <v>-Налог на имущество</v>
          </cell>
          <cell r="E20" t="str">
            <v>input</v>
          </cell>
          <cell r="F20" t="str">
            <v>%</v>
          </cell>
        </row>
        <row r="21">
          <cell r="A21" t="str">
            <v>-Tax on advertisement</v>
          </cell>
          <cell r="B21" t="str">
            <v>input</v>
          </cell>
          <cell r="C21" t="str">
            <v>%</v>
          </cell>
          <cell r="D21" t="str">
            <v>-Налог на рекламу</v>
          </cell>
          <cell r="E21" t="str">
            <v>input</v>
          </cell>
          <cell r="F21" t="str">
            <v>%</v>
          </cell>
        </row>
        <row r="80">
          <cell r="D80" t="str">
            <v>Feb
Фев</v>
          </cell>
          <cell r="E80" t="str">
            <v>March
Март</v>
          </cell>
        </row>
      </sheetData>
      <sheetData sheetId="5" refreshError="1">
        <row r="3">
          <cell r="A3" t="str">
            <v>TABLE 5</v>
          </cell>
          <cell r="B3" t="str">
            <v>Ref.</v>
          </cell>
          <cell r="C3" t="str">
            <v>units</v>
          </cell>
          <cell r="D3" t="str">
            <v>ТАБЛИЦА 5</v>
          </cell>
          <cell r="E3" t="str">
            <v>Ref.</v>
          </cell>
          <cell r="F3" t="str">
            <v>ед.
изм.</v>
          </cell>
        </row>
        <row r="4">
          <cell r="A4" t="str">
            <v># of minutes per phone per month</v>
          </cell>
          <cell r="B4" t="str">
            <v>Calc.</v>
          </cell>
          <cell r="D4" t="str">
            <v>Кол-во мин/такс. в месяц</v>
          </cell>
          <cell r="E4" t="str">
            <v>Calc.</v>
          </cell>
        </row>
        <row r="6">
          <cell r="A6" t="str">
            <v>Distribution of minutes used</v>
          </cell>
          <cell r="D6" t="str">
            <v>Распределение использ. минут</v>
          </cell>
        </row>
        <row r="7">
          <cell r="A7" t="str">
            <v>-National</v>
          </cell>
          <cell r="B7" t="str">
            <v>Calc.</v>
          </cell>
          <cell r="C7" t="str">
            <v>%</v>
          </cell>
          <cell r="D7" t="str">
            <v>Междугородняя  связь</v>
          </cell>
          <cell r="E7" t="str">
            <v>Calc.</v>
          </cell>
          <cell r="F7" t="str">
            <v>%</v>
          </cell>
        </row>
        <row r="8">
          <cell r="A8" t="str">
            <v>-% of zone 2</v>
          </cell>
          <cell r="B8" t="str">
            <v>Input</v>
          </cell>
          <cell r="C8" t="str">
            <v>%</v>
          </cell>
          <cell r="D8" t="str">
            <v>-доля 2 зоны</v>
          </cell>
          <cell r="E8" t="str">
            <v>Input</v>
          </cell>
          <cell r="F8" t="str">
            <v>%</v>
          </cell>
        </row>
        <row r="9">
          <cell r="A9" t="str">
            <v>-% of zone 3</v>
          </cell>
          <cell r="B9" t="str">
            <v>Input</v>
          </cell>
          <cell r="C9" t="str">
            <v>%</v>
          </cell>
          <cell r="D9" t="str">
            <v>-доля 3 зоны</v>
          </cell>
          <cell r="E9" t="str">
            <v>Input</v>
          </cell>
          <cell r="F9" t="str">
            <v>%</v>
          </cell>
        </row>
        <row r="10">
          <cell r="A10" t="str">
            <v>-% of zone 4</v>
          </cell>
          <cell r="B10" t="str">
            <v>Input</v>
          </cell>
          <cell r="C10" t="str">
            <v>%</v>
          </cell>
          <cell r="D10" t="str">
            <v>-доля 4 зоны</v>
          </cell>
          <cell r="E10" t="str">
            <v>Input</v>
          </cell>
          <cell r="F10" t="str">
            <v>%</v>
          </cell>
        </row>
        <row r="11">
          <cell r="A11" t="str">
            <v>-% of zone 5</v>
          </cell>
          <cell r="B11" t="str">
            <v>Input</v>
          </cell>
          <cell r="C11" t="str">
            <v>%</v>
          </cell>
          <cell r="D11" t="str">
            <v>-доля 5 зоны</v>
          </cell>
          <cell r="E11" t="str">
            <v>Input</v>
          </cell>
          <cell r="F11" t="str">
            <v>%</v>
          </cell>
        </row>
        <row r="12">
          <cell r="A12" t="str">
            <v>-% of zone 6</v>
          </cell>
          <cell r="B12" t="str">
            <v>Input</v>
          </cell>
          <cell r="C12" t="str">
            <v>%</v>
          </cell>
          <cell r="D12" t="str">
            <v>-доля 6 зоны</v>
          </cell>
          <cell r="E12" t="str">
            <v>Input</v>
          </cell>
          <cell r="F12" t="str">
            <v>%</v>
          </cell>
        </row>
        <row r="13">
          <cell r="A13" t="str">
            <v>-% of zone 7</v>
          </cell>
          <cell r="B13" t="str">
            <v>Input</v>
          </cell>
          <cell r="C13" t="str">
            <v>%</v>
          </cell>
          <cell r="D13" t="str">
            <v>-доля 7 зоны</v>
          </cell>
          <cell r="E13" t="str">
            <v>Input</v>
          </cell>
          <cell r="F13" t="str">
            <v>%</v>
          </cell>
        </row>
        <row r="14">
          <cell r="A14" t="str">
            <v>-International</v>
          </cell>
          <cell r="B14" t="str">
            <v>Calc.</v>
          </cell>
          <cell r="C14" t="str">
            <v>%</v>
          </cell>
          <cell r="D14" t="str">
            <v>Международная связь</v>
          </cell>
          <cell r="E14" t="str">
            <v>Calc.</v>
          </cell>
          <cell r="F14" t="str">
            <v>%</v>
          </cell>
        </row>
        <row r="15">
          <cell r="A15" t="str">
            <v>-% of zone 8</v>
          </cell>
          <cell r="B15" t="str">
            <v>Input</v>
          </cell>
          <cell r="C15" t="str">
            <v>%</v>
          </cell>
          <cell r="D15" t="str">
            <v>-доля 8 зоны</v>
          </cell>
          <cell r="E15" t="str">
            <v>Input</v>
          </cell>
          <cell r="F15" t="str">
            <v>%</v>
          </cell>
        </row>
        <row r="16">
          <cell r="A16" t="str">
            <v>-% of zone 9</v>
          </cell>
          <cell r="B16" t="str">
            <v>Input</v>
          </cell>
          <cell r="C16" t="str">
            <v>%</v>
          </cell>
          <cell r="D16" t="str">
            <v>-доля 9 зоны</v>
          </cell>
          <cell r="E16" t="str">
            <v>Input</v>
          </cell>
          <cell r="F16" t="str">
            <v>%</v>
          </cell>
        </row>
        <row r="17">
          <cell r="A17" t="str">
            <v>-% of zone 10</v>
          </cell>
          <cell r="B17" t="str">
            <v>Input</v>
          </cell>
          <cell r="C17" t="str">
            <v>%</v>
          </cell>
          <cell r="D17" t="str">
            <v>-доля 10 зоны</v>
          </cell>
          <cell r="E17" t="str">
            <v>Input</v>
          </cell>
          <cell r="F17" t="str">
            <v>%</v>
          </cell>
        </row>
        <row r="18">
          <cell r="A18" t="str">
            <v>-% of zone 11</v>
          </cell>
          <cell r="B18" t="str">
            <v>Input</v>
          </cell>
          <cell r="C18" t="str">
            <v>%</v>
          </cell>
          <cell r="D18" t="str">
            <v>-доля 11 зоны</v>
          </cell>
          <cell r="E18" t="str">
            <v>Input</v>
          </cell>
          <cell r="F18" t="str">
            <v>%</v>
          </cell>
        </row>
        <row r="19">
          <cell r="A19" t="str">
            <v>-% of zone 12</v>
          </cell>
          <cell r="B19" t="str">
            <v>Input</v>
          </cell>
          <cell r="C19" t="str">
            <v>%</v>
          </cell>
          <cell r="D19" t="str">
            <v>-доля 12 зоны</v>
          </cell>
          <cell r="E19" t="str">
            <v>Input</v>
          </cell>
          <cell r="F19" t="str">
            <v>%</v>
          </cell>
        </row>
        <row r="20">
          <cell r="A20" t="str">
            <v>-% of zone 13</v>
          </cell>
          <cell r="B20" t="str">
            <v>Input</v>
          </cell>
          <cell r="C20" t="str">
            <v>%</v>
          </cell>
          <cell r="D20" t="str">
            <v>-доля 13 зоны</v>
          </cell>
          <cell r="E20" t="str">
            <v>Input</v>
          </cell>
          <cell r="F20" t="str">
            <v>%</v>
          </cell>
        </row>
        <row r="21">
          <cell r="A21" t="str">
            <v>-% of zone 14</v>
          </cell>
          <cell r="B21" t="str">
            <v>Input</v>
          </cell>
          <cell r="C21" t="str">
            <v>%</v>
          </cell>
          <cell r="D21" t="str">
            <v>-доля 14 зоны</v>
          </cell>
          <cell r="E21" t="str">
            <v>Input</v>
          </cell>
          <cell r="F21" t="str">
            <v>%</v>
          </cell>
        </row>
        <row r="22">
          <cell r="A22" t="str">
            <v>-% of zone 15</v>
          </cell>
          <cell r="B22" t="str">
            <v>Input</v>
          </cell>
          <cell r="C22" t="str">
            <v>%</v>
          </cell>
          <cell r="D22" t="str">
            <v>-доля 15 зоны</v>
          </cell>
          <cell r="E22" t="str">
            <v>Input</v>
          </cell>
          <cell r="F22" t="str">
            <v>%</v>
          </cell>
        </row>
        <row r="23">
          <cell r="A23" t="str">
            <v>-% of zone 16</v>
          </cell>
          <cell r="B23" t="str">
            <v>Input</v>
          </cell>
          <cell r="C23" t="str">
            <v>%</v>
          </cell>
          <cell r="D23" t="str">
            <v>-доля 16 зоны</v>
          </cell>
          <cell r="E23" t="str">
            <v>Input</v>
          </cell>
          <cell r="F23" t="str">
            <v>%</v>
          </cell>
        </row>
        <row r="24">
          <cell r="A24" t="str">
            <v>-% of zone 17</v>
          </cell>
          <cell r="B24" t="str">
            <v>Input</v>
          </cell>
          <cell r="C24" t="str">
            <v>%</v>
          </cell>
          <cell r="D24" t="str">
            <v>-доля 17 зоны</v>
          </cell>
          <cell r="E24" t="str">
            <v>Input</v>
          </cell>
          <cell r="F24" t="str">
            <v>%</v>
          </cell>
        </row>
        <row r="25">
          <cell r="A25" t="str">
            <v>-% of zone 18</v>
          </cell>
          <cell r="B25" t="str">
            <v>Input</v>
          </cell>
          <cell r="C25" t="str">
            <v>%</v>
          </cell>
          <cell r="D25" t="str">
            <v>-доля 18 зоны</v>
          </cell>
          <cell r="E25" t="str">
            <v>Input</v>
          </cell>
          <cell r="F25" t="str">
            <v>%</v>
          </cell>
        </row>
        <row r="26">
          <cell r="A26" t="str">
            <v>-Zone 19 (commercial telephone services)</v>
          </cell>
          <cell r="B26" t="str">
            <v>Calc.</v>
          </cell>
          <cell r="C26" t="str">
            <v>%</v>
          </cell>
          <cell r="D26" t="str">
            <v>-зона 19 (платные телефонные службы)</v>
          </cell>
          <cell r="E26" t="str">
            <v>Input</v>
          </cell>
          <cell r="F26" t="str">
            <v>%</v>
          </cell>
        </row>
        <row r="27">
          <cell r="A27" t="str">
            <v>-Zone 20 (commercial telephone services)</v>
          </cell>
          <cell r="B27" t="str">
            <v>Calc.</v>
          </cell>
          <cell r="C27" t="str">
            <v>%</v>
          </cell>
          <cell r="D27" t="str">
            <v>-зона 20 (платные телефонные службы)</v>
          </cell>
          <cell r="E27" t="str">
            <v>Input</v>
          </cell>
          <cell r="F27" t="str">
            <v>%</v>
          </cell>
        </row>
        <row r="29">
          <cell r="A29" t="str">
            <v xml:space="preserve">Effective duration of call </v>
          </cell>
          <cell r="D29" t="str">
            <v>Реальная продолжит. разговора</v>
          </cell>
        </row>
        <row r="30">
          <cell r="A30" t="str">
            <v>-Local 1</v>
          </cell>
          <cell r="B30" t="str">
            <v>Input</v>
          </cell>
          <cell r="C30" t="str">
            <v>min.</v>
          </cell>
          <cell r="D30" t="str">
            <v>Местная связь</v>
          </cell>
          <cell r="E30" t="str">
            <v>Input</v>
          </cell>
          <cell r="F30" t="str">
            <v>мин</v>
          </cell>
        </row>
        <row r="31">
          <cell r="A31" t="str">
            <v>-National zone 2</v>
          </cell>
          <cell r="B31" t="str">
            <v>Input</v>
          </cell>
          <cell r="C31" t="str">
            <v>min.</v>
          </cell>
          <cell r="D31" t="str">
            <v>2 зона междугородней связи</v>
          </cell>
          <cell r="E31" t="str">
            <v>Input</v>
          </cell>
          <cell r="F31" t="str">
            <v>мин</v>
          </cell>
        </row>
        <row r="32">
          <cell r="A32" t="str">
            <v>-National zone 3</v>
          </cell>
          <cell r="B32" t="str">
            <v>Input</v>
          </cell>
          <cell r="C32" t="str">
            <v>min.</v>
          </cell>
          <cell r="D32" t="str">
            <v>3 зона междугородней связи</v>
          </cell>
          <cell r="E32" t="str">
            <v>Input</v>
          </cell>
          <cell r="F32" t="str">
            <v>мин</v>
          </cell>
        </row>
        <row r="33">
          <cell r="A33" t="str">
            <v>-National zone 4</v>
          </cell>
          <cell r="B33" t="str">
            <v>Input</v>
          </cell>
          <cell r="C33" t="str">
            <v>min.</v>
          </cell>
          <cell r="D33" t="str">
            <v>4 зона междугородней связи</v>
          </cell>
          <cell r="E33" t="str">
            <v>Input</v>
          </cell>
          <cell r="F33" t="str">
            <v>мин</v>
          </cell>
        </row>
        <row r="34">
          <cell r="A34" t="str">
            <v>-National zone 5</v>
          </cell>
          <cell r="B34" t="str">
            <v>Input</v>
          </cell>
          <cell r="C34" t="str">
            <v>min.</v>
          </cell>
          <cell r="D34" t="str">
            <v>5 зона междугородней связи</v>
          </cell>
          <cell r="E34" t="str">
            <v>Input</v>
          </cell>
          <cell r="F34" t="str">
            <v>мин</v>
          </cell>
        </row>
        <row r="35">
          <cell r="A35" t="str">
            <v>-National zone 6</v>
          </cell>
          <cell r="B35" t="str">
            <v>Input</v>
          </cell>
          <cell r="C35" t="str">
            <v>min.</v>
          </cell>
          <cell r="D35" t="str">
            <v>6 зона междугородней связи</v>
          </cell>
          <cell r="E35" t="str">
            <v>Input</v>
          </cell>
          <cell r="F35" t="str">
            <v>мин</v>
          </cell>
        </row>
        <row r="36">
          <cell r="A36" t="str">
            <v>-National zone 7</v>
          </cell>
          <cell r="B36" t="str">
            <v>Input</v>
          </cell>
          <cell r="C36" t="str">
            <v>min.</v>
          </cell>
          <cell r="D36" t="str">
            <v>7 зона междугородней связи</v>
          </cell>
          <cell r="E36" t="str">
            <v>Input</v>
          </cell>
          <cell r="F36" t="str">
            <v>мин</v>
          </cell>
        </row>
        <row r="37">
          <cell r="A37" t="str">
            <v>-International zone 8</v>
          </cell>
          <cell r="B37" t="str">
            <v>Input</v>
          </cell>
          <cell r="C37" t="str">
            <v>min.</v>
          </cell>
          <cell r="D37" t="str">
            <v>8 зона международной связи</v>
          </cell>
          <cell r="E37" t="str">
            <v>Input</v>
          </cell>
          <cell r="F37" t="str">
            <v>мин</v>
          </cell>
        </row>
        <row r="38">
          <cell r="A38" t="str">
            <v>-International zone 9</v>
          </cell>
          <cell r="B38" t="str">
            <v>Input</v>
          </cell>
          <cell r="C38" t="str">
            <v>min.</v>
          </cell>
          <cell r="D38" t="str">
            <v>9 зона международной связи</v>
          </cell>
          <cell r="E38" t="str">
            <v>Input</v>
          </cell>
          <cell r="F38" t="str">
            <v>мин</v>
          </cell>
        </row>
        <row r="39">
          <cell r="A39" t="str">
            <v>-International zone 10</v>
          </cell>
          <cell r="B39" t="str">
            <v>Input</v>
          </cell>
          <cell r="C39" t="str">
            <v>min.</v>
          </cell>
          <cell r="D39" t="str">
            <v>10 зона международной связи</v>
          </cell>
          <cell r="E39" t="str">
            <v>Input</v>
          </cell>
          <cell r="F39" t="str">
            <v>мин</v>
          </cell>
        </row>
        <row r="40">
          <cell r="A40" t="str">
            <v>-International zone 11</v>
          </cell>
          <cell r="B40" t="str">
            <v>Input</v>
          </cell>
          <cell r="C40" t="str">
            <v>min.</v>
          </cell>
          <cell r="D40" t="str">
            <v>11 зона международной связи</v>
          </cell>
          <cell r="E40" t="str">
            <v>Input</v>
          </cell>
          <cell r="F40" t="str">
            <v>мин</v>
          </cell>
        </row>
        <row r="41">
          <cell r="A41" t="str">
            <v>-International zone 12</v>
          </cell>
          <cell r="B41" t="str">
            <v>Input</v>
          </cell>
          <cell r="C41" t="str">
            <v>min.</v>
          </cell>
          <cell r="D41" t="str">
            <v>12 зона международной связи</v>
          </cell>
          <cell r="E41" t="str">
            <v>Input</v>
          </cell>
          <cell r="F41" t="str">
            <v>мин</v>
          </cell>
        </row>
        <row r="42">
          <cell r="A42" t="str">
            <v>-International zone 13</v>
          </cell>
          <cell r="B42" t="str">
            <v>Input</v>
          </cell>
          <cell r="C42" t="str">
            <v>min.</v>
          </cell>
          <cell r="D42" t="str">
            <v>13 зона международной связи</v>
          </cell>
          <cell r="E42" t="str">
            <v>Input</v>
          </cell>
          <cell r="F42" t="str">
            <v>мин</v>
          </cell>
        </row>
        <row r="43">
          <cell r="A43" t="str">
            <v>-International zone 14</v>
          </cell>
          <cell r="B43" t="str">
            <v>Input</v>
          </cell>
          <cell r="C43" t="str">
            <v>min.</v>
          </cell>
          <cell r="D43" t="str">
            <v>14 зона международной связи</v>
          </cell>
          <cell r="E43" t="str">
            <v>Input</v>
          </cell>
          <cell r="F43" t="str">
            <v>мин</v>
          </cell>
        </row>
        <row r="44">
          <cell r="A44" t="str">
            <v>-International zone 15</v>
          </cell>
          <cell r="B44" t="str">
            <v>Input</v>
          </cell>
          <cell r="C44" t="str">
            <v>min.</v>
          </cell>
          <cell r="D44" t="str">
            <v>15 зона международной связи</v>
          </cell>
          <cell r="E44" t="str">
            <v>Input</v>
          </cell>
          <cell r="F44" t="str">
            <v>мин</v>
          </cell>
        </row>
        <row r="45">
          <cell r="A45" t="str">
            <v>-International zone 16</v>
          </cell>
          <cell r="B45" t="str">
            <v>Input</v>
          </cell>
          <cell r="C45" t="str">
            <v>min.</v>
          </cell>
          <cell r="D45" t="str">
            <v>16 зона международной связи</v>
          </cell>
          <cell r="E45" t="str">
            <v>Input</v>
          </cell>
          <cell r="F45" t="str">
            <v>мин</v>
          </cell>
        </row>
        <row r="46">
          <cell r="A46" t="str">
            <v>-International zone 17</v>
          </cell>
          <cell r="B46" t="str">
            <v>Input</v>
          </cell>
          <cell r="C46" t="str">
            <v>min.</v>
          </cell>
          <cell r="D46" t="str">
            <v>17 зона международной связи</v>
          </cell>
          <cell r="E46" t="str">
            <v>Input</v>
          </cell>
          <cell r="F46" t="str">
            <v>мин</v>
          </cell>
        </row>
        <row r="47">
          <cell r="A47" t="str">
            <v>-International zone 18</v>
          </cell>
          <cell r="B47" t="str">
            <v>Input</v>
          </cell>
          <cell r="C47" t="str">
            <v>min.</v>
          </cell>
          <cell r="D47" t="str">
            <v>18 зона международной связи</v>
          </cell>
          <cell r="E47" t="str">
            <v>Input</v>
          </cell>
          <cell r="F47" t="str">
            <v>мин</v>
          </cell>
        </row>
        <row r="48">
          <cell r="A48" t="str">
            <v>-Zone 19 (commercial telephone services)</v>
          </cell>
          <cell r="B48" t="str">
            <v>Calc.</v>
          </cell>
          <cell r="C48" t="str">
            <v>%</v>
          </cell>
          <cell r="D48" t="str">
            <v>-зона 19 (платные телефонные службы)</v>
          </cell>
          <cell r="E48" t="str">
            <v>Input</v>
          </cell>
          <cell r="F48" t="str">
            <v>мин</v>
          </cell>
        </row>
        <row r="49">
          <cell r="A49" t="str">
            <v>-Zone 20 (commercial telephone services)</v>
          </cell>
          <cell r="B49" t="str">
            <v>Calc.</v>
          </cell>
          <cell r="C49" t="str">
            <v>%</v>
          </cell>
          <cell r="D49" t="str">
            <v>-зона 20 (платные телефонные службы)</v>
          </cell>
          <cell r="E49" t="str">
            <v>Input</v>
          </cell>
          <cell r="F49" t="str">
            <v>мин</v>
          </cell>
        </row>
        <row r="51">
          <cell r="A51" t="str">
            <v>SPT tariffs</v>
          </cell>
          <cell r="D51" t="str">
            <v>Тарифы СПТ</v>
          </cell>
        </row>
        <row r="52">
          <cell r="A52" t="str">
            <v>-Local 1</v>
          </cell>
          <cell r="B52" t="str">
            <v>Input</v>
          </cell>
          <cell r="C52" t="str">
            <v>unit/min</v>
          </cell>
          <cell r="D52" t="str">
            <v>Местная связь</v>
          </cell>
          <cell r="E52" t="str">
            <v>Input</v>
          </cell>
          <cell r="F52" t="str">
            <v>ед/мин</v>
          </cell>
        </row>
        <row r="53">
          <cell r="A53" t="str">
            <v>-National zone 2</v>
          </cell>
          <cell r="B53" t="str">
            <v>Input</v>
          </cell>
          <cell r="C53" t="str">
            <v>unit/min</v>
          </cell>
          <cell r="D53" t="str">
            <v>2 зона междугородней связи</v>
          </cell>
          <cell r="E53" t="str">
            <v>Input</v>
          </cell>
          <cell r="F53" t="str">
            <v>ед/мин</v>
          </cell>
        </row>
        <row r="54">
          <cell r="A54" t="str">
            <v>-National zone 3</v>
          </cell>
          <cell r="B54" t="str">
            <v>Input</v>
          </cell>
          <cell r="C54" t="str">
            <v>unit/min</v>
          </cell>
          <cell r="D54" t="str">
            <v>3 зона междугородней связи</v>
          </cell>
          <cell r="E54" t="str">
            <v>Input</v>
          </cell>
          <cell r="F54" t="str">
            <v>ед/мин</v>
          </cell>
        </row>
        <row r="55">
          <cell r="A55" t="str">
            <v>-National zone 4</v>
          </cell>
          <cell r="B55" t="str">
            <v>Input</v>
          </cell>
          <cell r="C55" t="str">
            <v>unit/min</v>
          </cell>
          <cell r="D55" t="str">
            <v>4 зона междугородней связи</v>
          </cell>
          <cell r="E55" t="str">
            <v>Input</v>
          </cell>
          <cell r="F55" t="str">
            <v>ед/мин</v>
          </cell>
        </row>
        <row r="56">
          <cell r="A56" t="str">
            <v>-National zone 5</v>
          </cell>
          <cell r="B56" t="str">
            <v>Input</v>
          </cell>
          <cell r="C56" t="str">
            <v>unit/min</v>
          </cell>
          <cell r="D56" t="str">
            <v>5 зона междугородней связи</v>
          </cell>
          <cell r="E56" t="str">
            <v>Input</v>
          </cell>
          <cell r="F56" t="str">
            <v>ед/мин</v>
          </cell>
        </row>
        <row r="57">
          <cell r="A57" t="str">
            <v>-National zone 6</v>
          </cell>
          <cell r="B57" t="str">
            <v>Input</v>
          </cell>
          <cell r="C57" t="str">
            <v>unit/min</v>
          </cell>
          <cell r="D57" t="str">
            <v>6 зона междугородней связи</v>
          </cell>
          <cell r="E57" t="str">
            <v>Input</v>
          </cell>
          <cell r="F57" t="str">
            <v>ед/мин</v>
          </cell>
        </row>
        <row r="58">
          <cell r="A58" t="str">
            <v>-National zone 7</v>
          </cell>
          <cell r="B58" t="str">
            <v>Input</v>
          </cell>
          <cell r="C58" t="str">
            <v>unit/min</v>
          </cell>
          <cell r="D58" t="str">
            <v>7 зона междугородней связи</v>
          </cell>
          <cell r="E58" t="str">
            <v>Input</v>
          </cell>
          <cell r="F58" t="str">
            <v>ед/мин</v>
          </cell>
        </row>
        <row r="59">
          <cell r="A59" t="str">
            <v>-International zone 8</v>
          </cell>
          <cell r="B59" t="str">
            <v>Input</v>
          </cell>
          <cell r="C59" t="str">
            <v>unit/min</v>
          </cell>
          <cell r="D59" t="str">
            <v>8 зона международной связи</v>
          </cell>
          <cell r="E59" t="str">
            <v>Input</v>
          </cell>
          <cell r="F59" t="str">
            <v>ед/мин</v>
          </cell>
        </row>
        <row r="60">
          <cell r="A60" t="str">
            <v>-International zone 9</v>
          </cell>
          <cell r="B60" t="str">
            <v>Input</v>
          </cell>
          <cell r="C60" t="str">
            <v>unit/min</v>
          </cell>
          <cell r="D60" t="str">
            <v>9 зона международной связи</v>
          </cell>
          <cell r="E60" t="str">
            <v>Input</v>
          </cell>
          <cell r="F60" t="str">
            <v>ед/мин</v>
          </cell>
        </row>
        <row r="61">
          <cell r="A61" t="str">
            <v>-International zone 10</v>
          </cell>
          <cell r="B61" t="str">
            <v>Input</v>
          </cell>
          <cell r="C61" t="str">
            <v>unit/min</v>
          </cell>
          <cell r="D61" t="str">
            <v>10 зона международной связи</v>
          </cell>
          <cell r="E61" t="str">
            <v>Input</v>
          </cell>
          <cell r="F61" t="str">
            <v>ед/мин</v>
          </cell>
        </row>
        <row r="62">
          <cell r="A62" t="str">
            <v>-International zone 11</v>
          </cell>
          <cell r="B62" t="str">
            <v>Input</v>
          </cell>
          <cell r="C62" t="str">
            <v>unit/min</v>
          </cell>
          <cell r="D62" t="str">
            <v>11 зона международной связи</v>
          </cell>
          <cell r="E62" t="str">
            <v>Input</v>
          </cell>
          <cell r="F62" t="str">
            <v>ед/мин</v>
          </cell>
        </row>
        <row r="63">
          <cell r="A63" t="str">
            <v>-International zone 12</v>
          </cell>
          <cell r="B63" t="str">
            <v>Input</v>
          </cell>
          <cell r="C63" t="str">
            <v>unit/min</v>
          </cell>
          <cell r="D63" t="str">
            <v>12 зона международной связи</v>
          </cell>
          <cell r="E63" t="str">
            <v>Input</v>
          </cell>
          <cell r="F63" t="str">
            <v>ед/мин</v>
          </cell>
        </row>
        <row r="64">
          <cell r="A64" t="str">
            <v>-International zone 13</v>
          </cell>
          <cell r="B64" t="str">
            <v>Input</v>
          </cell>
          <cell r="C64" t="str">
            <v>unit/min</v>
          </cell>
          <cell r="D64" t="str">
            <v>13 зона международной связи</v>
          </cell>
          <cell r="E64" t="str">
            <v>Input</v>
          </cell>
          <cell r="F64" t="str">
            <v>ед/мин</v>
          </cell>
        </row>
        <row r="65">
          <cell r="A65" t="str">
            <v>-International zone 14</v>
          </cell>
          <cell r="B65" t="str">
            <v>Input</v>
          </cell>
          <cell r="C65" t="str">
            <v>unit/min</v>
          </cell>
          <cell r="D65" t="str">
            <v>14 зона международной связи</v>
          </cell>
          <cell r="E65" t="str">
            <v>Input</v>
          </cell>
          <cell r="F65" t="str">
            <v>ед/мин</v>
          </cell>
        </row>
        <row r="66">
          <cell r="A66" t="str">
            <v>-International zone 15</v>
          </cell>
          <cell r="B66" t="str">
            <v>Input</v>
          </cell>
          <cell r="C66" t="str">
            <v>unit/min</v>
          </cell>
          <cell r="D66" t="str">
            <v>15 зона международной связи</v>
          </cell>
          <cell r="E66" t="str">
            <v>Input</v>
          </cell>
          <cell r="F66" t="str">
            <v>ед/мин</v>
          </cell>
        </row>
        <row r="67">
          <cell r="A67" t="str">
            <v>-International zone 16</v>
          </cell>
          <cell r="B67" t="str">
            <v>Input</v>
          </cell>
          <cell r="C67" t="str">
            <v>unit/min</v>
          </cell>
          <cell r="D67" t="str">
            <v>16 зона международной связи</v>
          </cell>
          <cell r="E67" t="str">
            <v>Input</v>
          </cell>
          <cell r="F67" t="str">
            <v>ед/мин</v>
          </cell>
        </row>
        <row r="68">
          <cell r="A68" t="str">
            <v>-International zone 17</v>
          </cell>
          <cell r="B68" t="str">
            <v>Input</v>
          </cell>
          <cell r="C68" t="str">
            <v>unit/min</v>
          </cell>
          <cell r="D68" t="str">
            <v>17 зона международной связи</v>
          </cell>
          <cell r="E68" t="str">
            <v>Input</v>
          </cell>
          <cell r="F68" t="str">
            <v>ед/мин</v>
          </cell>
        </row>
        <row r="69">
          <cell r="A69" t="str">
            <v>-International zone 18</v>
          </cell>
          <cell r="B69" t="str">
            <v>Input</v>
          </cell>
          <cell r="C69" t="str">
            <v>unit/min</v>
          </cell>
          <cell r="D69" t="str">
            <v>18 зона международной связи</v>
          </cell>
          <cell r="E69" t="str">
            <v>Input</v>
          </cell>
          <cell r="F69" t="str">
            <v>ед/мин</v>
          </cell>
        </row>
        <row r="71">
          <cell r="A71" t="str">
            <v>PTN %</v>
          </cell>
          <cell r="B71" t="str">
            <v>Input</v>
          </cell>
          <cell r="C71" t="str">
            <v>%</v>
          </cell>
          <cell r="D71" t="str">
            <v>Стоимость ПТС %</v>
          </cell>
          <cell r="E71" t="str">
            <v>Input</v>
          </cell>
          <cell r="F71" t="str">
            <v>%</v>
          </cell>
        </row>
        <row r="73">
          <cell r="A73" t="str">
            <v>MMT tariffs, incl. VAT</v>
          </cell>
          <cell r="D73" t="str">
            <v>Средние тарифы ММТ, вкл.НДС</v>
          </cell>
        </row>
        <row r="74">
          <cell r="A74" t="str">
            <v>-National zone 2</v>
          </cell>
          <cell r="B74" t="str">
            <v>Input</v>
          </cell>
          <cell r="C74" t="str">
            <v>rbl/min</v>
          </cell>
          <cell r="D74" t="str">
            <v>2 зона междугородней связи</v>
          </cell>
          <cell r="E74" t="str">
            <v>Input</v>
          </cell>
          <cell r="F74" t="str">
            <v>руб/мин</v>
          </cell>
        </row>
        <row r="75">
          <cell r="A75" t="str">
            <v>-National zone 3</v>
          </cell>
          <cell r="B75" t="str">
            <v>Input</v>
          </cell>
          <cell r="C75" t="str">
            <v>rbl/min</v>
          </cell>
          <cell r="D75" t="str">
            <v>3 зона междугородней связи</v>
          </cell>
          <cell r="E75" t="str">
            <v>Input</v>
          </cell>
          <cell r="F75" t="str">
            <v>руб/мин</v>
          </cell>
        </row>
        <row r="76">
          <cell r="A76" t="str">
            <v>-National zone 4</v>
          </cell>
          <cell r="B76" t="str">
            <v>Input</v>
          </cell>
          <cell r="C76" t="str">
            <v>rbl/min</v>
          </cell>
          <cell r="D76" t="str">
            <v>4 зона междугородней связи</v>
          </cell>
          <cell r="E76" t="str">
            <v>Input</v>
          </cell>
          <cell r="F76" t="str">
            <v>руб/мин</v>
          </cell>
        </row>
        <row r="77">
          <cell r="A77" t="str">
            <v>-National zone 5</v>
          </cell>
          <cell r="B77" t="str">
            <v>Input</v>
          </cell>
          <cell r="C77" t="str">
            <v>rbl/min</v>
          </cell>
          <cell r="D77" t="str">
            <v>5 зона междугородней связи</v>
          </cell>
          <cell r="E77" t="str">
            <v>Input</v>
          </cell>
          <cell r="F77" t="str">
            <v>руб/мин</v>
          </cell>
        </row>
        <row r="78">
          <cell r="A78" t="str">
            <v>-National zone 6</v>
          </cell>
          <cell r="B78" t="str">
            <v>Input</v>
          </cell>
          <cell r="C78" t="str">
            <v>rbl/min</v>
          </cell>
          <cell r="D78" t="str">
            <v>6 зона междугородней связи</v>
          </cell>
          <cell r="E78" t="str">
            <v>Input</v>
          </cell>
          <cell r="F78" t="str">
            <v>руб/мин</v>
          </cell>
        </row>
        <row r="79">
          <cell r="A79" t="str">
            <v>-National zone 7</v>
          </cell>
          <cell r="B79" t="str">
            <v>Input</v>
          </cell>
          <cell r="C79" t="str">
            <v>rbl/min</v>
          </cell>
          <cell r="D79" t="str">
            <v>7 зона междугородней связи</v>
          </cell>
          <cell r="E79" t="str">
            <v>Input</v>
          </cell>
          <cell r="F79" t="str">
            <v>руб/мин</v>
          </cell>
        </row>
        <row r="80">
          <cell r="A80" t="str">
            <v>-International zone 8</v>
          </cell>
          <cell r="B80" t="str">
            <v>Input</v>
          </cell>
          <cell r="C80" t="str">
            <v>rbl/min</v>
          </cell>
          <cell r="D80" t="str">
            <v>8 зона международной связи</v>
          </cell>
          <cell r="E80" t="str">
            <v>Input</v>
          </cell>
          <cell r="F80" t="str">
            <v>руб/мин</v>
          </cell>
        </row>
        <row r="81">
          <cell r="A81" t="str">
            <v>-International zone 9</v>
          </cell>
          <cell r="B81" t="str">
            <v>Input</v>
          </cell>
          <cell r="C81" t="str">
            <v>rbl/min</v>
          </cell>
          <cell r="D81" t="str">
            <v>9 зона международной связи</v>
          </cell>
          <cell r="E81" t="str">
            <v>Input</v>
          </cell>
          <cell r="F81" t="str">
            <v>руб/мин</v>
          </cell>
        </row>
        <row r="82">
          <cell r="A82" t="str">
            <v>-International zone 10</v>
          </cell>
          <cell r="B82" t="str">
            <v>Input</v>
          </cell>
          <cell r="C82" t="str">
            <v>rbl/min</v>
          </cell>
          <cell r="D82" t="str">
            <v>10 зона международной связи</v>
          </cell>
          <cell r="E82" t="str">
            <v>Input</v>
          </cell>
          <cell r="F82" t="str">
            <v>руб/мин</v>
          </cell>
        </row>
        <row r="83">
          <cell r="A83" t="str">
            <v>-International zone 11</v>
          </cell>
          <cell r="B83" t="str">
            <v>Input</v>
          </cell>
          <cell r="C83" t="str">
            <v>rbl/min</v>
          </cell>
          <cell r="D83" t="str">
            <v>11 зона международной связи</v>
          </cell>
          <cell r="E83" t="str">
            <v>Input</v>
          </cell>
          <cell r="F83" t="str">
            <v>руб/мин</v>
          </cell>
        </row>
        <row r="84">
          <cell r="A84" t="str">
            <v>-International zone 12</v>
          </cell>
          <cell r="B84" t="str">
            <v>Input</v>
          </cell>
          <cell r="C84" t="str">
            <v>rbl/min</v>
          </cell>
          <cell r="D84" t="str">
            <v>12 зона международной связи</v>
          </cell>
          <cell r="E84" t="str">
            <v>Input</v>
          </cell>
          <cell r="F84" t="str">
            <v>руб/мин</v>
          </cell>
        </row>
        <row r="85">
          <cell r="A85" t="str">
            <v>-International zone 13</v>
          </cell>
          <cell r="B85" t="str">
            <v>Input</v>
          </cell>
          <cell r="C85" t="str">
            <v>rbl/min</v>
          </cell>
          <cell r="D85" t="str">
            <v>13 зона международной связи</v>
          </cell>
          <cell r="E85" t="str">
            <v>Input</v>
          </cell>
          <cell r="F85" t="str">
            <v>руб/мин</v>
          </cell>
        </row>
        <row r="86">
          <cell r="A86" t="str">
            <v>-International zone 14</v>
          </cell>
          <cell r="B86" t="str">
            <v>Input</v>
          </cell>
          <cell r="C86" t="str">
            <v>rbl/min</v>
          </cell>
          <cell r="D86" t="str">
            <v>14 зона международной связи</v>
          </cell>
          <cell r="E86" t="str">
            <v>Input</v>
          </cell>
          <cell r="F86" t="str">
            <v>руб/мин</v>
          </cell>
        </row>
        <row r="87">
          <cell r="A87" t="str">
            <v>-International zone 15</v>
          </cell>
          <cell r="B87" t="str">
            <v>Input</v>
          </cell>
          <cell r="C87" t="str">
            <v>rbl/min</v>
          </cell>
          <cell r="D87" t="str">
            <v>15 зона международной связи</v>
          </cell>
          <cell r="E87" t="str">
            <v>Input</v>
          </cell>
          <cell r="F87" t="str">
            <v>руб/мин</v>
          </cell>
        </row>
        <row r="88">
          <cell r="A88" t="str">
            <v>-International zone 16</v>
          </cell>
          <cell r="B88" t="str">
            <v>Input</v>
          </cell>
          <cell r="C88" t="str">
            <v>rbl/min</v>
          </cell>
          <cell r="D88" t="str">
            <v>16 зона международной связи</v>
          </cell>
          <cell r="E88" t="str">
            <v>Input</v>
          </cell>
          <cell r="F88" t="str">
            <v>руб/мин</v>
          </cell>
        </row>
        <row r="89">
          <cell r="A89" t="str">
            <v>-International zone 17</v>
          </cell>
          <cell r="B89" t="str">
            <v>Input</v>
          </cell>
          <cell r="C89" t="str">
            <v>rbl/min</v>
          </cell>
          <cell r="D89" t="str">
            <v>17 зона международной связи</v>
          </cell>
          <cell r="E89" t="str">
            <v>Input</v>
          </cell>
          <cell r="F89" t="str">
            <v>руб/мин</v>
          </cell>
        </row>
        <row r="90">
          <cell r="A90" t="str">
            <v>-International zone 18</v>
          </cell>
          <cell r="B90" t="str">
            <v>Input</v>
          </cell>
          <cell r="C90" t="str">
            <v>rbl/min</v>
          </cell>
          <cell r="D90" t="str">
            <v>18 зона международной связи</v>
          </cell>
          <cell r="E90" t="str">
            <v>Input</v>
          </cell>
          <cell r="F90" t="str">
            <v>руб/мин</v>
          </cell>
        </row>
        <row r="91">
          <cell r="A91" t="str">
            <v>Tariffs growth rate (national)</v>
          </cell>
          <cell r="D91" t="str">
            <v>Процент роста тарифов (межгород)</v>
          </cell>
          <cell r="E91" t="str">
            <v>Input</v>
          </cell>
          <cell r="F91" t="str">
            <v>%</v>
          </cell>
        </row>
        <row r="92">
          <cell r="A92" t="str">
            <v>Tariffs growth rate (international)</v>
          </cell>
          <cell r="D92" t="str">
            <v>Процент роста тарифов (международ)</v>
          </cell>
          <cell r="E92" t="str">
            <v>Input</v>
          </cell>
          <cell r="F92" t="str">
            <v>%</v>
          </cell>
        </row>
        <row r="94">
          <cell r="A94" t="str">
            <v>LD Overpaid/Actual seconds ratio</v>
          </cell>
          <cell r="D94" t="str">
            <v>Коэфф. переплач./реальные секунды</v>
          </cell>
        </row>
        <row r="95">
          <cell r="A95" t="str">
            <v>-National zone 2</v>
          </cell>
          <cell r="B95" t="str">
            <v>Input</v>
          </cell>
          <cell r="C95" t="str">
            <v>%</v>
          </cell>
          <cell r="D95" t="str">
            <v>2 зона междугородней связи</v>
          </cell>
          <cell r="E95" t="str">
            <v>Input</v>
          </cell>
          <cell r="F95" t="str">
            <v>%</v>
          </cell>
        </row>
        <row r="96">
          <cell r="A96" t="str">
            <v>-National zone 3</v>
          </cell>
          <cell r="B96" t="str">
            <v>Input</v>
          </cell>
          <cell r="C96" t="str">
            <v>%</v>
          </cell>
          <cell r="D96" t="str">
            <v>3 зона междугородней связи</v>
          </cell>
          <cell r="E96" t="str">
            <v>Input</v>
          </cell>
          <cell r="F96" t="str">
            <v>%</v>
          </cell>
        </row>
        <row r="97">
          <cell r="A97" t="str">
            <v>-National zone 4</v>
          </cell>
          <cell r="B97" t="str">
            <v>Input</v>
          </cell>
          <cell r="C97" t="str">
            <v>%</v>
          </cell>
          <cell r="D97" t="str">
            <v>4 зона междугородней связи</v>
          </cell>
          <cell r="E97" t="str">
            <v>Input</v>
          </cell>
          <cell r="F97" t="str">
            <v>%</v>
          </cell>
        </row>
        <row r="98">
          <cell r="A98" t="str">
            <v>-National zone 5</v>
          </cell>
          <cell r="B98" t="str">
            <v>Input</v>
          </cell>
          <cell r="C98" t="str">
            <v>%</v>
          </cell>
          <cell r="D98" t="str">
            <v>5 зона междугородней связи</v>
          </cell>
          <cell r="E98" t="str">
            <v>Input</v>
          </cell>
          <cell r="F98" t="str">
            <v>%</v>
          </cell>
        </row>
        <row r="99">
          <cell r="A99" t="str">
            <v>-National zone 6</v>
          </cell>
          <cell r="B99" t="str">
            <v>Input</v>
          </cell>
          <cell r="C99" t="str">
            <v>%</v>
          </cell>
          <cell r="D99" t="str">
            <v>6 зона междугородней связи</v>
          </cell>
          <cell r="E99" t="str">
            <v>Input</v>
          </cell>
          <cell r="F99" t="str">
            <v>%</v>
          </cell>
        </row>
        <row r="100">
          <cell r="A100" t="str">
            <v>-National zone 7</v>
          </cell>
          <cell r="B100" t="str">
            <v>Input</v>
          </cell>
          <cell r="C100" t="str">
            <v>%</v>
          </cell>
          <cell r="D100" t="str">
            <v>7 зона междугородней связи</v>
          </cell>
          <cell r="E100" t="str">
            <v>Input</v>
          </cell>
          <cell r="F100" t="str">
            <v>%</v>
          </cell>
        </row>
        <row r="101">
          <cell r="A101" t="str">
            <v>-International zone 8</v>
          </cell>
          <cell r="B101" t="str">
            <v>Input</v>
          </cell>
          <cell r="C101" t="str">
            <v>%</v>
          </cell>
          <cell r="D101" t="str">
            <v>8 зона международной связи</v>
          </cell>
          <cell r="E101" t="str">
            <v>Input</v>
          </cell>
          <cell r="F101" t="str">
            <v>%</v>
          </cell>
        </row>
        <row r="102">
          <cell r="A102" t="str">
            <v>-International zone 9</v>
          </cell>
          <cell r="B102" t="str">
            <v>Input</v>
          </cell>
          <cell r="C102" t="str">
            <v>%</v>
          </cell>
          <cell r="D102" t="str">
            <v>9 зона международной связи</v>
          </cell>
          <cell r="E102" t="str">
            <v>Input</v>
          </cell>
          <cell r="F102" t="str">
            <v>%</v>
          </cell>
        </row>
        <row r="103">
          <cell r="A103" t="str">
            <v>-International zone 10</v>
          </cell>
          <cell r="B103" t="str">
            <v>Input</v>
          </cell>
          <cell r="C103" t="str">
            <v>%</v>
          </cell>
          <cell r="D103" t="str">
            <v>10 зона международной связи</v>
          </cell>
          <cell r="E103" t="str">
            <v>Input</v>
          </cell>
          <cell r="F103" t="str">
            <v>%</v>
          </cell>
        </row>
        <row r="104">
          <cell r="A104" t="str">
            <v>-International zone 11</v>
          </cell>
          <cell r="B104" t="str">
            <v>Input</v>
          </cell>
          <cell r="C104" t="str">
            <v>%</v>
          </cell>
          <cell r="D104" t="str">
            <v>11 зона международной связи</v>
          </cell>
          <cell r="E104" t="str">
            <v>Input</v>
          </cell>
          <cell r="F104" t="str">
            <v>%</v>
          </cell>
        </row>
        <row r="105">
          <cell r="A105" t="str">
            <v>-International zone 12</v>
          </cell>
          <cell r="B105" t="str">
            <v>Input</v>
          </cell>
          <cell r="C105" t="str">
            <v>%</v>
          </cell>
          <cell r="D105" t="str">
            <v>12 зона международной связи</v>
          </cell>
          <cell r="E105" t="str">
            <v>Input</v>
          </cell>
          <cell r="F105" t="str">
            <v>%</v>
          </cell>
        </row>
        <row r="106">
          <cell r="A106" t="str">
            <v>-International zone 13</v>
          </cell>
          <cell r="B106" t="str">
            <v>Input</v>
          </cell>
          <cell r="C106" t="str">
            <v>%</v>
          </cell>
          <cell r="D106" t="str">
            <v>13 зона международной связи</v>
          </cell>
          <cell r="E106" t="str">
            <v>Input</v>
          </cell>
          <cell r="F106" t="str">
            <v>%</v>
          </cell>
        </row>
        <row r="107">
          <cell r="A107" t="str">
            <v>-International zone 14</v>
          </cell>
          <cell r="B107" t="str">
            <v>Input</v>
          </cell>
          <cell r="C107" t="str">
            <v>%</v>
          </cell>
          <cell r="D107" t="str">
            <v>14 зона международной связи</v>
          </cell>
          <cell r="E107" t="str">
            <v>Input</v>
          </cell>
          <cell r="F107" t="str">
            <v>%</v>
          </cell>
        </row>
        <row r="108">
          <cell r="A108" t="str">
            <v>-International zone 15</v>
          </cell>
          <cell r="B108" t="str">
            <v>Input</v>
          </cell>
          <cell r="C108" t="str">
            <v>%</v>
          </cell>
          <cell r="D108" t="str">
            <v>15 зона международной связи</v>
          </cell>
          <cell r="E108" t="str">
            <v>Input</v>
          </cell>
          <cell r="F108" t="str">
            <v>%</v>
          </cell>
        </row>
        <row r="109">
          <cell r="A109" t="str">
            <v>-International zone 16</v>
          </cell>
          <cell r="B109" t="str">
            <v>Input</v>
          </cell>
          <cell r="C109" t="str">
            <v>%</v>
          </cell>
          <cell r="D109" t="str">
            <v>16 зона международной связи</v>
          </cell>
          <cell r="E109" t="str">
            <v>Input</v>
          </cell>
          <cell r="F109" t="str">
            <v>%</v>
          </cell>
        </row>
        <row r="110">
          <cell r="A110" t="str">
            <v>-International zone 17</v>
          </cell>
          <cell r="B110" t="str">
            <v>Input</v>
          </cell>
          <cell r="C110" t="str">
            <v>%</v>
          </cell>
          <cell r="D110" t="str">
            <v>17 зона международной связи</v>
          </cell>
          <cell r="E110" t="str">
            <v>Input</v>
          </cell>
          <cell r="F110" t="str">
            <v>%</v>
          </cell>
        </row>
        <row r="111">
          <cell r="A111" t="str">
            <v>-International zone 18</v>
          </cell>
          <cell r="B111" t="str">
            <v>Input</v>
          </cell>
          <cell r="C111" t="str">
            <v>%</v>
          </cell>
          <cell r="D111" t="str">
            <v>18 зона международной связи</v>
          </cell>
          <cell r="E111" t="str">
            <v>Input</v>
          </cell>
          <cell r="F111" t="str">
            <v>%</v>
          </cell>
        </row>
        <row r="115">
          <cell r="A115" t="str">
            <v>Average unit price, incl. VAT (settlement with PTN)</v>
          </cell>
          <cell r="B115" t="str">
            <v>Calc.</v>
          </cell>
          <cell r="C115" t="str">
            <v>$</v>
          </cell>
          <cell r="D115" t="str">
            <v>Ср.цена тарифной ед. для расчетов с "ПТС" вкл.НДС</v>
          </cell>
          <cell r="E115" t="str">
            <v>Calc.</v>
          </cell>
          <cell r="F115" t="str">
            <v>$</v>
          </cell>
        </row>
        <row r="116">
          <cell r="A116" t="str">
            <v>Average unit price, incl. VAT (settlement with PTN)</v>
          </cell>
          <cell r="B116" t="str">
            <v>Calc.</v>
          </cell>
          <cell r="C116" t="str">
            <v>RUR</v>
          </cell>
          <cell r="D116" t="str">
            <v>Ср.цена тарифной ед. для расчетов с "ПТС" вкл.НДС</v>
          </cell>
          <cell r="E116" t="str">
            <v>Calc.</v>
          </cell>
          <cell r="F116" t="str">
            <v>руб.</v>
          </cell>
        </row>
        <row r="117">
          <cell r="A117" t="str">
            <v>Units sold/used ratio</v>
          </cell>
          <cell r="B117" t="str">
            <v>Input</v>
          </cell>
          <cell r="C117" t="str">
            <v>-</v>
          </cell>
          <cell r="D117" t="str">
            <v>Коэфф. прод./использ. карт</v>
          </cell>
          <cell r="E117" t="str">
            <v>Input</v>
          </cell>
          <cell r="F117" t="str">
            <v>-</v>
          </cell>
        </row>
        <row r="119">
          <cell r="A119" t="str">
            <v>MMT Rate of charge on traffic</v>
          </cell>
          <cell r="D119" t="str">
            <v>Процент оплаты трафика ММТ</v>
          </cell>
        </row>
        <row r="120">
          <cell r="A120">
            <v>0</v>
          </cell>
          <cell r="B120" t="str">
            <v>Input</v>
          </cell>
          <cell r="C120" t="str">
            <v>%</v>
          </cell>
          <cell r="D120">
            <v>0</v>
          </cell>
          <cell r="E120" t="str">
            <v>Input</v>
          </cell>
          <cell r="F120" t="str">
            <v>%</v>
          </cell>
        </row>
        <row r="121">
          <cell r="A121">
            <v>100000</v>
          </cell>
          <cell r="B121" t="str">
            <v>Input</v>
          </cell>
          <cell r="C121" t="str">
            <v>%</v>
          </cell>
          <cell r="D121">
            <v>100000</v>
          </cell>
          <cell r="E121" t="str">
            <v>Input</v>
          </cell>
          <cell r="F121" t="str">
            <v>%</v>
          </cell>
        </row>
        <row r="122">
          <cell r="A122">
            <v>120000</v>
          </cell>
          <cell r="B122" t="str">
            <v>Input</v>
          </cell>
          <cell r="C122" t="str">
            <v>%</v>
          </cell>
          <cell r="D122">
            <v>120000</v>
          </cell>
          <cell r="E122" t="str">
            <v>Input</v>
          </cell>
          <cell r="F122" t="str">
            <v>%</v>
          </cell>
        </row>
        <row r="123">
          <cell r="A123">
            <v>140000</v>
          </cell>
          <cell r="B123" t="str">
            <v>Input</v>
          </cell>
          <cell r="C123" t="str">
            <v>%</v>
          </cell>
          <cell r="D123">
            <v>140000</v>
          </cell>
          <cell r="E123" t="str">
            <v>Input</v>
          </cell>
          <cell r="F123" t="str">
            <v>%</v>
          </cell>
        </row>
        <row r="124">
          <cell r="A124">
            <v>180000</v>
          </cell>
          <cell r="B124" t="str">
            <v>Input</v>
          </cell>
          <cell r="C124" t="str">
            <v>%</v>
          </cell>
          <cell r="D124">
            <v>180000</v>
          </cell>
          <cell r="E124" t="str">
            <v>Input</v>
          </cell>
          <cell r="F124" t="str">
            <v>%</v>
          </cell>
        </row>
      </sheetData>
      <sheetData sheetId="6" refreshError="1">
        <row r="3">
          <cell r="A3" t="str">
            <v>TABLE 6</v>
          </cell>
          <cell r="B3" t="str">
            <v>Ref.</v>
          </cell>
          <cell r="C3" t="str">
            <v>units</v>
          </cell>
          <cell r="D3" t="str">
            <v>ТАБЛИЦА 6</v>
          </cell>
          <cell r="E3" t="str">
            <v>Ref.</v>
          </cell>
          <cell r="F3" t="str">
            <v>ед.
изм.</v>
          </cell>
        </row>
        <row r="4">
          <cell r="A4" t="str">
            <v>1.# of minutes used - total</v>
          </cell>
          <cell r="B4" t="str">
            <v>Calc.</v>
          </cell>
          <cell r="C4" t="str">
            <v>min</v>
          </cell>
          <cell r="D4" t="str">
            <v>1.Кол-во использ. минут - итого</v>
          </cell>
          <cell r="E4" t="str">
            <v>Calc.</v>
          </cell>
          <cell r="F4" t="str">
            <v>мин.</v>
          </cell>
        </row>
        <row r="6">
          <cell r="A6" t="str">
            <v xml:space="preserve">2. Distribution of traffic </v>
          </cell>
          <cell r="D6" t="str">
            <v>2. Распределение трафика</v>
          </cell>
        </row>
        <row r="7">
          <cell r="A7" t="str">
            <v>-Local 1</v>
          </cell>
          <cell r="B7" t="str">
            <v>Calc.</v>
          </cell>
          <cell r="C7" t="str">
            <v>%</v>
          </cell>
          <cell r="D7" t="str">
            <v>Местная связь</v>
          </cell>
          <cell r="E7" t="str">
            <v>Calc.</v>
          </cell>
          <cell r="F7" t="str">
            <v>%</v>
          </cell>
        </row>
        <row r="8">
          <cell r="A8" t="str">
            <v>-National zone 2</v>
          </cell>
          <cell r="B8" t="str">
            <v>Calc.</v>
          </cell>
          <cell r="C8" t="str">
            <v>%</v>
          </cell>
          <cell r="D8" t="str">
            <v>2 зона междугородней связи</v>
          </cell>
          <cell r="E8" t="str">
            <v>Calc.</v>
          </cell>
          <cell r="F8" t="str">
            <v>%</v>
          </cell>
        </row>
        <row r="9">
          <cell r="A9" t="str">
            <v>-National zone 3</v>
          </cell>
          <cell r="B9" t="str">
            <v>Calc.</v>
          </cell>
          <cell r="C9" t="str">
            <v>%</v>
          </cell>
          <cell r="D9" t="str">
            <v>3 зона междугородней связи</v>
          </cell>
          <cell r="E9" t="str">
            <v>Calc.</v>
          </cell>
          <cell r="F9" t="str">
            <v>%</v>
          </cell>
        </row>
        <row r="10">
          <cell r="A10" t="str">
            <v>-National zone 4</v>
          </cell>
          <cell r="B10" t="str">
            <v>Calc.</v>
          </cell>
          <cell r="C10" t="str">
            <v>%</v>
          </cell>
          <cell r="D10" t="str">
            <v>4 зона междугородней связи</v>
          </cell>
          <cell r="E10" t="str">
            <v>Calc.</v>
          </cell>
          <cell r="F10" t="str">
            <v>%</v>
          </cell>
        </row>
        <row r="11">
          <cell r="A11" t="str">
            <v>-National zone 5</v>
          </cell>
          <cell r="B11" t="str">
            <v>Calc.</v>
          </cell>
          <cell r="C11" t="str">
            <v>%</v>
          </cell>
          <cell r="D11" t="str">
            <v>5 зона междугородней связи</v>
          </cell>
          <cell r="E11" t="str">
            <v>Calc.</v>
          </cell>
          <cell r="F11" t="str">
            <v>%</v>
          </cell>
        </row>
        <row r="12">
          <cell r="A12" t="str">
            <v>-National zone 6</v>
          </cell>
          <cell r="B12" t="str">
            <v>Calc.</v>
          </cell>
          <cell r="C12" t="str">
            <v>%</v>
          </cell>
          <cell r="D12" t="str">
            <v>6 зона междугородней связи</v>
          </cell>
          <cell r="E12" t="str">
            <v>Calc.</v>
          </cell>
          <cell r="F12" t="str">
            <v>%</v>
          </cell>
        </row>
        <row r="13">
          <cell r="A13" t="str">
            <v>-National zone 7</v>
          </cell>
          <cell r="B13" t="str">
            <v>Calc.</v>
          </cell>
          <cell r="C13" t="str">
            <v>%</v>
          </cell>
          <cell r="D13" t="str">
            <v>7 зона междугородней связи</v>
          </cell>
          <cell r="E13" t="str">
            <v>Calc.</v>
          </cell>
          <cell r="F13" t="str">
            <v>%</v>
          </cell>
        </row>
        <row r="14">
          <cell r="A14" t="str">
            <v>-International zone 8</v>
          </cell>
          <cell r="B14" t="str">
            <v>Calc.</v>
          </cell>
          <cell r="C14" t="str">
            <v>%</v>
          </cell>
          <cell r="D14" t="str">
            <v>8 зона международной связи</v>
          </cell>
          <cell r="E14" t="str">
            <v>Calc.</v>
          </cell>
          <cell r="F14" t="str">
            <v>%</v>
          </cell>
        </row>
        <row r="15">
          <cell r="A15" t="str">
            <v>-International zone 9</v>
          </cell>
          <cell r="B15" t="str">
            <v>Calc.</v>
          </cell>
          <cell r="C15" t="str">
            <v>%</v>
          </cell>
          <cell r="D15" t="str">
            <v>9 зона международной связи</v>
          </cell>
          <cell r="E15" t="str">
            <v>Calc.</v>
          </cell>
          <cell r="F15" t="str">
            <v>%</v>
          </cell>
        </row>
        <row r="16">
          <cell r="A16" t="str">
            <v>-International zone 10</v>
          </cell>
          <cell r="B16" t="str">
            <v>Calc.</v>
          </cell>
          <cell r="C16" t="str">
            <v>%</v>
          </cell>
          <cell r="D16" t="str">
            <v>10 зона международной связи</v>
          </cell>
          <cell r="E16" t="str">
            <v>Calc.</v>
          </cell>
          <cell r="F16" t="str">
            <v>%</v>
          </cell>
        </row>
        <row r="17">
          <cell r="A17" t="str">
            <v>-International zone 11</v>
          </cell>
          <cell r="B17" t="str">
            <v>Calc.</v>
          </cell>
          <cell r="C17" t="str">
            <v>%</v>
          </cell>
          <cell r="D17" t="str">
            <v>11 зона международной связи</v>
          </cell>
          <cell r="E17" t="str">
            <v>Calc.</v>
          </cell>
          <cell r="F17" t="str">
            <v>%</v>
          </cell>
        </row>
        <row r="18">
          <cell r="A18" t="str">
            <v>-International zone 12</v>
          </cell>
          <cell r="B18" t="str">
            <v>Calc.</v>
          </cell>
          <cell r="C18" t="str">
            <v>%</v>
          </cell>
          <cell r="D18" t="str">
            <v>12 зона международной связи</v>
          </cell>
          <cell r="E18" t="str">
            <v>Calc.</v>
          </cell>
          <cell r="F18" t="str">
            <v>%</v>
          </cell>
        </row>
        <row r="19">
          <cell r="A19" t="str">
            <v>-International zone 13</v>
          </cell>
          <cell r="B19" t="str">
            <v>Calc.</v>
          </cell>
          <cell r="C19" t="str">
            <v>%</v>
          </cell>
          <cell r="D19" t="str">
            <v>13 зона международной связи</v>
          </cell>
          <cell r="E19" t="str">
            <v>Calc.</v>
          </cell>
          <cell r="F19" t="str">
            <v>%</v>
          </cell>
        </row>
        <row r="20">
          <cell r="A20" t="str">
            <v>-International zone 14</v>
          </cell>
          <cell r="B20" t="str">
            <v>Calc.</v>
          </cell>
          <cell r="C20" t="str">
            <v>%</v>
          </cell>
          <cell r="D20" t="str">
            <v>14 зона международной связи</v>
          </cell>
          <cell r="E20" t="str">
            <v>Calc.</v>
          </cell>
          <cell r="F20" t="str">
            <v>%</v>
          </cell>
        </row>
        <row r="21">
          <cell r="A21" t="str">
            <v>-International zone 15</v>
          </cell>
          <cell r="B21" t="str">
            <v>Calc.</v>
          </cell>
          <cell r="C21" t="str">
            <v>%</v>
          </cell>
          <cell r="D21" t="str">
            <v>15 зона международной связи</v>
          </cell>
          <cell r="E21" t="str">
            <v>Calc.</v>
          </cell>
          <cell r="F21" t="str">
            <v>%</v>
          </cell>
        </row>
        <row r="22">
          <cell r="A22" t="str">
            <v>-International zone 16</v>
          </cell>
          <cell r="B22" t="str">
            <v>Calc.</v>
          </cell>
          <cell r="C22" t="str">
            <v>%</v>
          </cell>
          <cell r="D22" t="str">
            <v>16 зона международной связи</v>
          </cell>
          <cell r="E22" t="str">
            <v>Calc.</v>
          </cell>
          <cell r="F22" t="str">
            <v>%</v>
          </cell>
        </row>
        <row r="23">
          <cell r="A23" t="str">
            <v>-International zone 17</v>
          </cell>
          <cell r="B23" t="str">
            <v>Calc.</v>
          </cell>
          <cell r="C23" t="str">
            <v>%</v>
          </cell>
          <cell r="D23" t="str">
            <v>17 зона международной связи</v>
          </cell>
          <cell r="E23" t="str">
            <v>Calc.</v>
          </cell>
          <cell r="F23" t="str">
            <v>%</v>
          </cell>
        </row>
        <row r="24">
          <cell r="A24" t="str">
            <v>-International zone 18</v>
          </cell>
          <cell r="B24" t="str">
            <v>Calc.</v>
          </cell>
          <cell r="C24" t="str">
            <v>%</v>
          </cell>
          <cell r="D24" t="str">
            <v>18 зона международной связи</v>
          </cell>
          <cell r="E24" t="str">
            <v>Calc.</v>
          </cell>
          <cell r="F24" t="str">
            <v>%</v>
          </cell>
        </row>
        <row r="25">
          <cell r="A25" t="str">
            <v>-Zone 19 (commercial telephone services)</v>
          </cell>
          <cell r="B25" t="str">
            <v>Calc.</v>
          </cell>
          <cell r="C25" t="str">
            <v>%</v>
          </cell>
          <cell r="D25" t="str">
            <v>-зона 19 (платные телефонные службы)</v>
          </cell>
          <cell r="F25" t="str">
            <v>%</v>
          </cell>
        </row>
        <row r="26">
          <cell r="A26" t="str">
            <v>-Zone 20 (commercial telephone services)</v>
          </cell>
          <cell r="B26" t="str">
            <v>Calc.</v>
          </cell>
          <cell r="C26" t="str">
            <v>%</v>
          </cell>
          <cell r="D26" t="str">
            <v>-зона 20 (платные телефонные службы)</v>
          </cell>
          <cell r="F26" t="str">
            <v>%</v>
          </cell>
        </row>
        <row r="28">
          <cell r="A28" t="str">
            <v>3.# of transactions - total</v>
          </cell>
          <cell r="D28" t="str">
            <v>3.Кол-во разговоров - итого</v>
          </cell>
        </row>
        <row r="29">
          <cell r="A29" t="str">
            <v>-Local 1</v>
          </cell>
          <cell r="B29" t="str">
            <v>Calc.</v>
          </cell>
          <cell r="C29" t="str">
            <v>-</v>
          </cell>
          <cell r="D29" t="str">
            <v>Местная связь</v>
          </cell>
          <cell r="E29" t="str">
            <v>Calc.</v>
          </cell>
          <cell r="F29" t="str">
            <v>-</v>
          </cell>
        </row>
        <row r="30">
          <cell r="A30" t="str">
            <v>-National zone 2</v>
          </cell>
          <cell r="B30" t="str">
            <v>Calc.</v>
          </cell>
          <cell r="C30" t="str">
            <v>-</v>
          </cell>
          <cell r="D30" t="str">
            <v>2 зона междугородней связи</v>
          </cell>
          <cell r="E30" t="str">
            <v>Calc.</v>
          </cell>
          <cell r="F30" t="str">
            <v>-</v>
          </cell>
        </row>
        <row r="31">
          <cell r="A31" t="str">
            <v>-National zone 3</v>
          </cell>
          <cell r="B31" t="str">
            <v>Calc.</v>
          </cell>
          <cell r="C31" t="str">
            <v>-</v>
          </cell>
          <cell r="D31" t="str">
            <v>3 зона междугородней связи</v>
          </cell>
          <cell r="E31" t="str">
            <v>Calc.</v>
          </cell>
          <cell r="F31" t="str">
            <v>-</v>
          </cell>
        </row>
        <row r="32">
          <cell r="A32" t="str">
            <v>-National zone 4</v>
          </cell>
          <cell r="B32" t="str">
            <v>Calc.</v>
          </cell>
          <cell r="C32" t="str">
            <v>-</v>
          </cell>
          <cell r="D32" t="str">
            <v>4 зона междугородней связи</v>
          </cell>
          <cell r="E32" t="str">
            <v>Calc.</v>
          </cell>
          <cell r="F32" t="str">
            <v>-</v>
          </cell>
        </row>
        <row r="33">
          <cell r="A33" t="str">
            <v>-National zone 5</v>
          </cell>
          <cell r="B33" t="str">
            <v>Calc.</v>
          </cell>
          <cell r="C33" t="str">
            <v>-</v>
          </cell>
          <cell r="D33" t="str">
            <v>5 зона междугородней связи</v>
          </cell>
          <cell r="E33" t="str">
            <v>Calc.</v>
          </cell>
          <cell r="F33" t="str">
            <v>-</v>
          </cell>
        </row>
        <row r="34">
          <cell r="A34" t="str">
            <v>-National zone 6</v>
          </cell>
          <cell r="B34" t="str">
            <v>Calc.</v>
          </cell>
          <cell r="C34" t="str">
            <v>-</v>
          </cell>
          <cell r="D34" t="str">
            <v>6 зона междугородней связи</v>
          </cell>
          <cell r="E34" t="str">
            <v>Calc.</v>
          </cell>
          <cell r="F34" t="str">
            <v>-</v>
          </cell>
        </row>
        <row r="35">
          <cell r="A35" t="str">
            <v>-National zone 7</v>
          </cell>
          <cell r="B35" t="str">
            <v>Calc.</v>
          </cell>
          <cell r="C35" t="str">
            <v>-</v>
          </cell>
          <cell r="D35" t="str">
            <v>7 зона междугородней связи</v>
          </cell>
          <cell r="E35" t="str">
            <v>Calc.</v>
          </cell>
          <cell r="F35" t="str">
            <v>-</v>
          </cell>
        </row>
        <row r="36">
          <cell r="A36" t="str">
            <v>-International zone 8</v>
          </cell>
          <cell r="B36" t="str">
            <v>Calc.</v>
          </cell>
          <cell r="C36" t="str">
            <v>-</v>
          </cell>
          <cell r="D36" t="str">
            <v>8 зона международной связи</v>
          </cell>
          <cell r="E36" t="str">
            <v>Calc.</v>
          </cell>
          <cell r="F36" t="str">
            <v>-</v>
          </cell>
        </row>
        <row r="37">
          <cell r="A37" t="str">
            <v>-International zone 9</v>
          </cell>
          <cell r="B37" t="str">
            <v>Calc.</v>
          </cell>
          <cell r="C37" t="str">
            <v>-</v>
          </cell>
          <cell r="D37" t="str">
            <v>9 зона международной связи</v>
          </cell>
          <cell r="E37" t="str">
            <v>Calc.</v>
          </cell>
          <cell r="F37" t="str">
            <v>-</v>
          </cell>
        </row>
        <row r="38">
          <cell r="A38" t="str">
            <v>-International zone 10</v>
          </cell>
          <cell r="B38" t="str">
            <v>Calc.</v>
          </cell>
          <cell r="C38" t="str">
            <v>-</v>
          </cell>
          <cell r="D38" t="str">
            <v>10 зона международной связи</v>
          </cell>
          <cell r="E38" t="str">
            <v>Calc.</v>
          </cell>
          <cell r="F38" t="str">
            <v>-</v>
          </cell>
        </row>
        <row r="39">
          <cell r="A39" t="str">
            <v>-International zone 11</v>
          </cell>
          <cell r="B39" t="str">
            <v>Calc.</v>
          </cell>
          <cell r="C39" t="str">
            <v>-</v>
          </cell>
          <cell r="D39" t="str">
            <v>11 зона международной связи</v>
          </cell>
          <cell r="E39" t="str">
            <v>Calc.</v>
          </cell>
          <cell r="F39" t="str">
            <v>-</v>
          </cell>
        </row>
        <row r="40">
          <cell r="A40" t="str">
            <v>-International zone 12</v>
          </cell>
          <cell r="B40" t="str">
            <v>Calc.</v>
          </cell>
          <cell r="C40" t="str">
            <v>-</v>
          </cell>
          <cell r="D40" t="str">
            <v>12 зона международной связи</v>
          </cell>
          <cell r="E40" t="str">
            <v>Calc.</v>
          </cell>
          <cell r="F40" t="str">
            <v>-</v>
          </cell>
        </row>
        <row r="41">
          <cell r="A41" t="str">
            <v>-International zone 13</v>
          </cell>
          <cell r="B41" t="str">
            <v>Calc.</v>
          </cell>
          <cell r="C41" t="str">
            <v>-</v>
          </cell>
          <cell r="D41" t="str">
            <v>13 зона международной связи</v>
          </cell>
          <cell r="E41" t="str">
            <v>Calc.</v>
          </cell>
          <cell r="F41" t="str">
            <v>-</v>
          </cell>
        </row>
        <row r="42">
          <cell r="A42" t="str">
            <v>-International zone 14</v>
          </cell>
          <cell r="B42" t="str">
            <v>Calc.</v>
          </cell>
          <cell r="C42" t="str">
            <v>-</v>
          </cell>
          <cell r="D42" t="str">
            <v>14 зона международной связи</v>
          </cell>
          <cell r="E42" t="str">
            <v>Calc.</v>
          </cell>
          <cell r="F42" t="str">
            <v>-</v>
          </cell>
        </row>
        <row r="43">
          <cell r="A43" t="str">
            <v>-International zone 15</v>
          </cell>
          <cell r="B43" t="str">
            <v>Calc.</v>
          </cell>
          <cell r="C43" t="str">
            <v>-</v>
          </cell>
          <cell r="D43" t="str">
            <v>15 зона международной связи</v>
          </cell>
          <cell r="E43" t="str">
            <v>Calc.</v>
          </cell>
          <cell r="F43" t="str">
            <v>-</v>
          </cell>
        </row>
        <row r="44">
          <cell r="A44" t="str">
            <v>-International zone 16</v>
          </cell>
          <cell r="B44" t="str">
            <v>Calc.</v>
          </cell>
          <cell r="C44" t="str">
            <v>-</v>
          </cell>
          <cell r="D44" t="str">
            <v>16 зона международной связи</v>
          </cell>
          <cell r="E44" t="str">
            <v>Calc.</v>
          </cell>
          <cell r="F44" t="str">
            <v>-</v>
          </cell>
        </row>
        <row r="45">
          <cell r="A45" t="str">
            <v>-International zone 17</v>
          </cell>
          <cell r="B45" t="str">
            <v>Calc.</v>
          </cell>
          <cell r="C45" t="str">
            <v>-</v>
          </cell>
          <cell r="D45" t="str">
            <v>17 зона международной связи</v>
          </cell>
          <cell r="E45" t="str">
            <v>Calc.</v>
          </cell>
          <cell r="F45" t="str">
            <v>-</v>
          </cell>
        </row>
        <row r="46">
          <cell r="A46" t="str">
            <v>-International zone 18</v>
          </cell>
          <cell r="B46" t="str">
            <v>Calc.</v>
          </cell>
          <cell r="C46" t="str">
            <v>-</v>
          </cell>
          <cell r="D46" t="str">
            <v>18 зона международной связи</v>
          </cell>
          <cell r="E46" t="str">
            <v>Calc.</v>
          </cell>
          <cell r="F46" t="str">
            <v>-</v>
          </cell>
        </row>
        <row r="47">
          <cell r="A47" t="str">
            <v>-Zone 19 (commercial telephone services)</v>
          </cell>
          <cell r="B47" t="str">
            <v>Calc.</v>
          </cell>
          <cell r="C47" t="str">
            <v>%</v>
          </cell>
          <cell r="D47" t="str">
            <v>-зона 19 (платные телефонные службы)</v>
          </cell>
          <cell r="F47" t="str">
            <v>-</v>
          </cell>
        </row>
        <row r="48">
          <cell r="A48" t="str">
            <v>-Zone 20 (commercial telephone services)</v>
          </cell>
          <cell r="B48" t="str">
            <v>Calc.</v>
          </cell>
          <cell r="C48" t="str">
            <v>%</v>
          </cell>
          <cell r="D48" t="str">
            <v>-зона 20 (платные телефонные службы)</v>
          </cell>
          <cell r="F48" t="str">
            <v>-</v>
          </cell>
        </row>
        <row r="50">
          <cell r="A50" t="str">
            <v>4. # of units used - total</v>
          </cell>
          <cell r="D50" t="str">
            <v>4. Кол-во использ. единиц - итого</v>
          </cell>
        </row>
        <row r="51">
          <cell r="A51" t="str">
            <v>-Local 1</v>
          </cell>
          <cell r="B51" t="str">
            <v>Calc.</v>
          </cell>
          <cell r="C51" t="str">
            <v>units</v>
          </cell>
          <cell r="D51" t="str">
            <v>Местная связь</v>
          </cell>
          <cell r="E51" t="str">
            <v>Calc.</v>
          </cell>
          <cell r="F51" t="str">
            <v>т.е.</v>
          </cell>
        </row>
        <row r="52">
          <cell r="A52" t="str">
            <v>-National zone 2</v>
          </cell>
          <cell r="B52" t="str">
            <v>Calc.</v>
          </cell>
          <cell r="C52" t="str">
            <v>units</v>
          </cell>
          <cell r="D52" t="str">
            <v>2 зона междугородней связи</v>
          </cell>
          <cell r="E52" t="str">
            <v>Calc.</v>
          </cell>
          <cell r="F52" t="str">
            <v>т.е.</v>
          </cell>
        </row>
        <row r="53">
          <cell r="A53" t="str">
            <v>-National zone 3</v>
          </cell>
          <cell r="B53" t="str">
            <v>Calc.</v>
          </cell>
          <cell r="C53" t="str">
            <v>units</v>
          </cell>
          <cell r="D53" t="str">
            <v>3 зона междугородней связи</v>
          </cell>
          <cell r="E53" t="str">
            <v>Calc.</v>
          </cell>
          <cell r="F53" t="str">
            <v>т.е.</v>
          </cell>
        </row>
        <row r="54">
          <cell r="A54" t="str">
            <v>-National zone 4</v>
          </cell>
          <cell r="B54" t="str">
            <v>Calc.</v>
          </cell>
          <cell r="C54" t="str">
            <v>units</v>
          </cell>
          <cell r="D54" t="str">
            <v>4 зона междугородней связи</v>
          </cell>
          <cell r="E54" t="str">
            <v>Calc.</v>
          </cell>
          <cell r="F54" t="str">
            <v>т.е.</v>
          </cell>
        </row>
        <row r="55">
          <cell r="A55" t="str">
            <v>-National zone 5</v>
          </cell>
          <cell r="B55" t="str">
            <v>Calc.</v>
          </cell>
          <cell r="C55" t="str">
            <v>units</v>
          </cell>
          <cell r="D55" t="str">
            <v>5 зона междугородней связи</v>
          </cell>
          <cell r="E55" t="str">
            <v>Calc.</v>
          </cell>
          <cell r="F55" t="str">
            <v>т.е.</v>
          </cell>
        </row>
        <row r="56">
          <cell r="A56" t="str">
            <v>-National zone 6</v>
          </cell>
          <cell r="B56" t="str">
            <v>Calc.</v>
          </cell>
          <cell r="C56" t="str">
            <v>units</v>
          </cell>
          <cell r="D56" t="str">
            <v>6 зона междугородней связи</v>
          </cell>
          <cell r="E56" t="str">
            <v>Calc.</v>
          </cell>
          <cell r="F56" t="str">
            <v>т.е.</v>
          </cell>
        </row>
        <row r="57">
          <cell r="A57" t="str">
            <v>-National zone 7</v>
          </cell>
          <cell r="B57" t="str">
            <v>Calc.</v>
          </cell>
          <cell r="C57" t="str">
            <v>units</v>
          </cell>
          <cell r="D57" t="str">
            <v>7 зона междугородней связи</v>
          </cell>
          <cell r="E57" t="str">
            <v>Calc.</v>
          </cell>
          <cell r="F57" t="str">
            <v>т.е.</v>
          </cell>
        </row>
        <row r="58">
          <cell r="A58" t="str">
            <v>-International zone 8</v>
          </cell>
          <cell r="B58" t="str">
            <v>Calc.</v>
          </cell>
          <cell r="C58" t="str">
            <v>units</v>
          </cell>
          <cell r="D58" t="str">
            <v>8 зона международной связи</v>
          </cell>
          <cell r="E58" t="str">
            <v>Calc.</v>
          </cell>
          <cell r="F58" t="str">
            <v>т.е.</v>
          </cell>
        </row>
        <row r="59">
          <cell r="A59" t="str">
            <v>-International zone 9</v>
          </cell>
          <cell r="B59" t="str">
            <v>Calc.</v>
          </cell>
          <cell r="C59" t="str">
            <v>units</v>
          </cell>
          <cell r="D59" t="str">
            <v>9 зона международной связи</v>
          </cell>
          <cell r="E59" t="str">
            <v>Calc.</v>
          </cell>
          <cell r="F59" t="str">
            <v>т.е.</v>
          </cell>
        </row>
        <row r="60">
          <cell r="A60" t="str">
            <v>-International zone 10</v>
          </cell>
          <cell r="B60" t="str">
            <v>Calc.</v>
          </cell>
          <cell r="C60" t="str">
            <v>units</v>
          </cell>
          <cell r="D60" t="str">
            <v>10 зона международной связи</v>
          </cell>
          <cell r="E60" t="str">
            <v>Calc.</v>
          </cell>
          <cell r="F60" t="str">
            <v>т.е.</v>
          </cell>
        </row>
        <row r="61">
          <cell r="A61" t="str">
            <v>-International zone 11</v>
          </cell>
          <cell r="B61" t="str">
            <v>Calc.</v>
          </cell>
          <cell r="C61" t="str">
            <v>units</v>
          </cell>
          <cell r="D61" t="str">
            <v>11 зона международной связи</v>
          </cell>
          <cell r="E61" t="str">
            <v>Calc.</v>
          </cell>
          <cell r="F61" t="str">
            <v>т.е.</v>
          </cell>
        </row>
        <row r="62">
          <cell r="A62" t="str">
            <v>-International zone 12</v>
          </cell>
          <cell r="B62" t="str">
            <v>Calc.</v>
          </cell>
          <cell r="C62" t="str">
            <v>units</v>
          </cell>
          <cell r="D62" t="str">
            <v>12 зона международной связи</v>
          </cell>
          <cell r="E62" t="str">
            <v>Calc.</v>
          </cell>
          <cell r="F62" t="str">
            <v>т.е.</v>
          </cell>
        </row>
        <row r="63">
          <cell r="A63" t="str">
            <v>-International zone 13</v>
          </cell>
          <cell r="B63" t="str">
            <v>Calc.</v>
          </cell>
          <cell r="C63" t="str">
            <v>units</v>
          </cell>
          <cell r="D63" t="str">
            <v>13 зона международной связи</v>
          </cell>
          <cell r="E63" t="str">
            <v>Calc.</v>
          </cell>
          <cell r="F63" t="str">
            <v>т.е.</v>
          </cell>
        </row>
        <row r="64">
          <cell r="A64" t="str">
            <v>-International zone 14</v>
          </cell>
          <cell r="B64" t="str">
            <v>Calc.</v>
          </cell>
          <cell r="C64" t="str">
            <v>units</v>
          </cell>
          <cell r="D64" t="str">
            <v>14 зона международной связи</v>
          </cell>
          <cell r="E64" t="str">
            <v>Calc.</v>
          </cell>
          <cell r="F64" t="str">
            <v>т.е.</v>
          </cell>
        </row>
        <row r="65">
          <cell r="A65" t="str">
            <v>-International zone 15</v>
          </cell>
          <cell r="B65" t="str">
            <v>Calc.</v>
          </cell>
          <cell r="C65" t="str">
            <v>units</v>
          </cell>
          <cell r="D65" t="str">
            <v>15 зона международной связи</v>
          </cell>
          <cell r="E65" t="str">
            <v>Calc.</v>
          </cell>
          <cell r="F65" t="str">
            <v>т.е.</v>
          </cell>
        </row>
        <row r="66">
          <cell r="A66" t="str">
            <v>-International zone 16</v>
          </cell>
          <cell r="B66" t="str">
            <v>Calc.</v>
          </cell>
          <cell r="C66" t="str">
            <v>units</v>
          </cell>
          <cell r="D66" t="str">
            <v>16 зона международной связи</v>
          </cell>
          <cell r="E66" t="str">
            <v>Calc.</v>
          </cell>
          <cell r="F66" t="str">
            <v>т.е.</v>
          </cell>
        </row>
        <row r="67">
          <cell r="A67" t="str">
            <v>-International zone 17</v>
          </cell>
          <cell r="B67" t="str">
            <v>Calc.</v>
          </cell>
          <cell r="C67" t="str">
            <v>units</v>
          </cell>
          <cell r="D67" t="str">
            <v>17 зона международной связи</v>
          </cell>
          <cell r="E67" t="str">
            <v>Calc.</v>
          </cell>
          <cell r="F67" t="str">
            <v>т.е.</v>
          </cell>
        </row>
        <row r="68">
          <cell r="A68" t="str">
            <v>-International zone 18</v>
          </cell>
          <cell r="B68" t="str">
            <v>Calc.</v>
          </cell>
          <cell r="C68" t="str">
            <v>units</v>
          </cell>
          <cell r="D68" t="str">
            <v>18 зона международной связи</v>
          </cell>
          <cell r="E68" t="str">
            <v>Calc.</v>
          </cell>
          <cell r="F68" t="str">
            <v>т.е.</v>
          </cell>
        </row>
        <row r="69">
          <cell r="A69" t="str">
            <v>-Zone 19 (commercial telephone services)</v>
          </cell>
          <cell r="B69" t="str">
            <v>Calc.</v>
          </cell>
          <cell r="C69" t="str">
            <v>%</v>
          </cell>
          <cell r="D69" t="str">
            <v>-зона 19 (платные телефонные службы)</v>
          </cell>
          <cell r="F69" t="str">
            <v>т.е.</v>
          </cell>
        </row>
        <row r="70">
          <cell r="A70" t="str">
            <v>-Zone 20 (commercial telephone services)</v>
          </cell>
          <cell r="B70" t="str">
            <v>Calc.</v>
          </cell>
          <cell r="C70" t="str">
            <v>%</v>
          </cell>
          <cell r="D70" t="str">
            <v>-зона 20 (платные телефонные службы)</v>
          </cell>
          <cell r="F70" t="str">
            <v>т.е.</v>
          </cell>
        </row>
        <row r="71">
          <cell r="A71" t="str">
            <v>Subtotal National</v>
          </cell>
          <cell r="B71" t="str">
            <v>Calc.</v>
          </cell>
          <cell r="C71" t="str">
            <v>units</v>
          </cell>
          <cell r="D71" t="str">
            <v>Итого по междугородней связи</v>
          </cell>
          <cell r="E71" t="str">
            <v>Calc.</v>
          </cell>
          <cell r="F71" t="str">
            <v>т.е.</v>
          </cell>
        </row>
        <row r="72">
          <cell r="A72" t="str">
            <v>Subtotal International</v>
          </cell>
          <cell r="B72" t="str">
            <v>Calc.</v>
          </cell>
          <cell r="C72" t="str">
            <v>units</v>
          </cell>
          <cell r="D72" t="str">
            <v>Итого по международной связи</v>
          </cell>
          <cell r="E72" t="str">
            <v>Calc.</v>
          </cell>
          <cell r="F72" t="str">
            <v>т.е.</v>
          </cell>
        </row>
        <row r="73">
          <cell r="A73" t="str">
            <v>Total</v>
          </cell>
          <cell r="B73" t="str">
            <v>Calc.</v>
          </cell>
          <cell r="C73" t="str">
            <v>units</v>
          </cell>
          <cell r="D73" t="str">
            <v>ИТОГО</v>
          </cell>
          <cell r="E73" t="str">
            <v>Calc.</v>
          </cell>
          <cell r="F73" t="str">
            <v>т.е.</v>
          </cell>
        </row>
        <row r="75">
          <cell r="A75" t="str">
            <v>Units used per payphone</v>
          </cell>
          <cell r="B75" t="str">
            <v>Calc.</v>
          </cell>
          <cell r="C75" t="str">
            <v>units</v>
          </cell>
          <cell r="D75" t="str">
            <v>Тарифных единиц на таксофон</v>
          </cell>
          <cell r="E75" t="str">
            <v>Calc.</v>
          </cell>
          <cell r="F75" t="str">
            <v>т.е.</v>
          </cell>
        </row>
        <row r="77">
          <cell r="A77" t="str">
            <v>5a. PTN Costs, incl VAT</v>
          </cell>
          <cell r="B77" t="str">
            <v>Calc.</v>
          </cell>
          <cell r="C77" t="str">
            <v>$</v>
          </cell>
          <cell r="D77" t="str">
            <v>5a. Оплата услуг ПТС, вкл.НДС</v>
          </cell>
          <cell r="E77" t="str">
            <v>Calc.</v>
          </cell>
          <cell r="F77" t="str">
            <v>$</v>
          </cell>
        </row>
        <row r="78">
          <cell r="A78" t="str">
            <v>5b. PTN Costs, incl VAT</v>
          </cell>
          <cell r="B78" t="str">
            <v>Calc.</v>
          </cell>
          <cell r="C78" t="str">
            <v>$</v>
          </cell>
          <cell r="D78" t="str">
            <v>5b. Оплата услуг ПТС, вкл.НДС</v>
          </cell>
          <cell r="F78" t="str">
            <v>rbl</v>
          </cell>
        </row>
        <row r="80">
          <cell r="A80" t="str">
            <v>6. Long-distance costs, incl. VAT</v>
          </cell>
          <cell r="D80" t="str">
            <v>6. Оплата дальнего трафика, вкл.НДС</v>
          </cell>
        </row>
        <row r="81">
          <cell r="A81" t="str">
            <v>-National zone 2</v>
          </cell>
          <cell r="B81" t="str">
            <v>Calc.</v>
          </cell>
          <cell r="C81" t="str">
            <v>rbl</v>
          </cell>
          <cell r="D81" t="str">
            <v>2 зона междугородней связи</v>
          </cell>
          <cell r="E81" t="str">
            <v>Calc.</v>
          </cell>
          <cell r="F81" t="str">
            <v>rbl</v>
          </cell>
        </row>
        <row r="82">
          <cell r="A82" t="str">
            <v>-National zone 3</v>
          </cell>
          <cell r="B82" t="str">
            <v>Calc.</v>
          </cell>
          <cell r="C82" t="str">
            <v>rbl</v>
          </cell>
          <cell r="D82" t="str">
            <v>3 зона междугородней связи</v>
          </cell>
          <cell r="E82" t="str">
            <v>Calc.</v>
          </cell>
          <cell r="F82" t="str">
            <v>rbl</v>
          </cell>
        </row>
        <row r="83">
          <cell r="A83" t="str">
            <v>-National zone 4</v>
          </cell>
          <cell r="B83" t="str">
            <v>Calc.</v>
          </cell>
          <cell r="C83" t="str">
            <v>rbl</v>
          </cell>
          <cell r="D83" t="str">
            <v>4 зона междугородней связи</v>
          </cell>
          <cell r="E83" t="str">
            <v>Calc.</v>
          </cell>
          <cell r="F83" t="str">
            <v>rbl</v>
          </cell>
        </row>
        <row r="84">
          <cell r="A84" t="str">
            <v>-National zone 5</v>
          </cell>
          <cell r="B84" t="str">
            <v>Calc.</v>
          </cell>
          <cell r="C84" t="str">
            <v>rbl</v>
          </cell>
          <cell r="D84" t="str">
            <v>5 зона междугородней связи</v>
          </cell>
          <cell r="E84" t="str">
            <v>Calc.</v>
          </cell>
          <cell r="F84" t="str">
            <v>rbl</v>
          </cell>
        </row>
        <row r="85">
          <cell r="A85" t="str">
            <v>-National zone 6</v>
          </cell>
          <cell r="B85" t="str">
            <v>Calc.</v>
          </cell>
          <cell r="C85" t="str">
            <v>rbl</v>
          </cell>
          <cell r="D85" t="str">
            <v>6 зона междугородней связи</v>
          </cell>
          <cell r="E85" t="str">
            <v>Calc.</v>
          </cell>
          <cell r="F85" t="str">
            <v>rbl</v>
          </cell>
        </row>
        <row r="86">
          <cell r="A86" t="str">
            <v>-National zone 7</v>
          </cell>
          <cell r="B86" t="str">
            <v>Calc.</v>
          </cell>
          <cell r="C86" t="str">
            <v>rbl</v>
          </cell>
          <cell r="D86" t="str">
            <v>7 зона междугородней связи</v>
          </cell>
          <cell r="E86" t="str">
            <v>Calc.</v>
          </cell>
          <cell r="F86" t="str">
            <v>rbl</v>
          </cell>
        </row>
        <row r="87">
          <cell r="A87" t="str">
            <v>-International zone 8</v>
          </cell>
          <cell r="B87" t="str">
            <v>Calc.</v>
          </cell>
          <cell r="C87" t="str">
            <v>rbl</v>
          </cell>
          <cell r="D87" t="str">
            <v>8 зона международной связи</v>
          </cell>
          <cell r="E87" t="str">
            <v>Calc.</v>
          </cell>
          <cell r="F87" t="str">
            <v>rbl</v>
          </cell>
        </row>
        <row r="88">
          <cell r="A88" t="str">
            <v>-International zone 9</v>
          </cell>
          <cell r="B88" t="str">
            <v>Calc.</v>
          </cell>
          <cell r="C88" t="str">
            <v>rbl</v>
          </cell>
          <cell r="D88" t="str">
            <v>9 зона международной связи</v>
          </cell>
          <cell r="E88" t="str">
            <v>Calc.</v>
          </cell>
          <cell r="F88" t="str">
            <v>rbl</v>
          </cell>
        </row>
        <row r="89">
          <cell r="A89" t="str">
            <v>-International zone 10</v>
          </cell>
          <cell r="B89" t="str">
            <v>Calc.</v>
          </cell>
          <cell r="C89" t="str">
            <v>rbl</v>
          </cell>
          <cell r="D89" t="str">
            <v>10 зона международной связи</v>
          </cell>
          <cell r="E89" t="str">
            <v>Calc.</v>
          </cell>
          <cell r="F89" t="str">
            <v>rbl</v>
          </cell>
        </row>
        <row r="90">
          <cell r="A90" t="str">
            <v>-International zone 11</v>
          </cell>
          <cell r="B90" t="str">
            <v>Calc.</v>
          </cell>
          <cell r="C90" t="str">
            <v>rbl</v>
          </cell>
          <cell r="D90" t="str">
            <v>11 зона международной связи</v>
          </cell>
          <cell r="E90" t="str">
            <v>Calc.</v>
          </cell>
          <cell r="F90" t="str">
            <v>rbl</v>
          </cell>
        </row>
        <row r="91">
          <cell r="A91" t="str">
            <v>-International zone 12</v>
          </cell>
          <cell r="B91" t="str">
            <v>Calc.</v>
          </cell>
          <cell r="C91" t="str">
            <v>rbl</v>
          </cell>
          <cell r="D91" t="str">
            <v>12 зона международной связи</v>
          </cell>
          <cell r="E91" t="str">
            <v>Calc.</v>
          </cell>
          <cell r="F91" t="str">
            <v>rbl</v>
          </cell>
        </row>
        <row r="92">
          <cell r="A92" t="str">
            <v>-International zone 13</v>
          </cell>
          <cell r="B92" t="str">
            <v>Calc.</v>
          </cell>
          <cell r="C92" t="str">
            <v>rbl</v>
          </cell>
          <cell r="D92" t="str">
            <v>13 зона международной связи</v>
          </cell>
          <cell r="E92" t="str">
            <v>Calc.</v>
          </cell>
          <cell r="F92" t="str">
            <v>rbl</v>
          </cell>
        </row>
        <row r="93">
          <cell r="A93" t="str">
            <v>-International zone 14</v>
          </cell>
          <cell r="B93" t="str">
            <v>Calc.</v>
          </cell>
          <cell r="C93" t="str">
            <v>rbl</v>
          </cell>
          <cell r="D93" t="str">
            <v>14 зона международной связи</v>
          </cell>
          <cell r="E93" t="str">
            <v>Calc.</v>
          </cell>
          <cell r="F93" t="str">
            <v>rbl</v>
          </cell>
        </row>
        <row r="94">
          <cell r="A94" t="str">
            <v>-International zone 15</v>
          </cell>
          <cell r="B94" t="str">
            <v>Calc.</v>
          </cell>
          <cell r="C94" t="str">
            <v>rbl</v>
          </cell>
          <cell r="D94" t="str">
            <v>15 зона международной связи</v>
          </cell>
          <cell r="E94" t="str">
            <v>Calc.</v>
          </cell>
          <cell r="F94" t="str">
            <v>rbl</v>
          </cell>
        </row>
        <row r="95">
          <cell r="A95" t="str">
            <v>-International zone 16</v>
          </cell>
          <cell r="B95" t="str">
            <v>Calc.</v>
          </cell>
          <cell r="C95" t="str">
            <v>rbl</v>
          </cell>
          <cell r="D95" t="str">
            <v>16 зона международной связи</v>
          </cell>
          <cell r="E95" t="str">
            <v>Calc.</v>
          </cell>
          <cell r="F95" t="str">
            <v>rbl</v>
          </cell>
        </row>
        <row r="96">
          <cell r="A96" t="str">
            <v>-International zone 17</v>
          </cell>
          <cell r="B96" t="str">
            <v>Calc.</v>
          </cell>
          <cell r="C96" t="str">
            <v>rbl</v>
          </cell>
          <cell r="D96" t="str">
            <v>17 зона международной связи</v>
          </cell>
          <cell r="E96" t="str">
            <v>Calc.</v>
          </cell>
          <cell r="F96" t="str">
            <v>rbl</v>
          </cell>
        </row>
        <row r="97">
          <cell r="A97" t="str">
            <v>-International zone 18</v>
          </cell>
          <cell r="B97" t="str">
            <v>Calc.</v>
          </cell>
          <cell r="C97" t="str">
            <v>rbl</v>
          </cell>
          <cell r="D97" t="str">
            <v>18 зона международной связи</v>
          </cell>
          <cell r="E97" t="str">
            <v>Calc.</v>
          </cell>
          <cell r="F97" t="str">
            <v>rbl</v>
          </cell>
        </row>
        <row r="98">
          <cell r="A98" t="str">
            <v>Subtotal national</v>
          </cell>
          <cell r="B98" t="str">
            <v>Calc.</v>
          </cell>
          <cell r="C98" t="str">
            <v>$</v>
          </cell>
          <cell r="D98" t="str">
            <v>Итого по междугородней связи</v>
          </cell>
          <cell r="E98" t="str">
            <v>Calc.</v>
          </cell>
          <cell r="F98" t="str">
            <v>$</v>
          </cell>
        </row>
        <row r="99">
          <cell r="A99" t="str">
            <v>Subtotal international</v>
          </cell>
          <cell r="B99" t="str">
            <v>Calc.</v>
          </cell>
          <cell r="C99" t="str">
            <v>$</v>
          </cell>
          <cell r="D99" t="str">
            <v>Итого по международной связи</v>
          </cell>
          <cell r="E99" t="str">
            <v>Calc.</v>
          </cell>
          <cell r="F99" t="str">
            <v>$</v>
          </cell>
        </row>
        <row r="100">
          <cell r="A100" t="str">
            <v>Total payable for long-distance traffic</v>
          </cell>
          <cell r="B100" t="str">
            <v>Calc.</v>
          </cell>
          <cell r="C100" t="str">
            <v>$</v>
          </cell>
          <cell r="D100" t="str">
            <v>Итого к оплате за дальний трафик</v>
          </cell>
          <cell r="E100" t="str">
            <v>Calc.</v>
          </cell>
          <cell r="F100" t="str">
            <v>$</v>
          </cell>
        </row>
        <row r="101">
          <cell r="A101" t="str">
            <v>Total payable to WEB-Plus</v>
          </cell>
          <cell r="B101" t="str">
            <v>Calc.</v>
          </cell>
          <cell r="C101" t="str">
            <v>$</v>
          </cell>
          <cell r="D101" t="str">
            <v>Итого к оплате "ВЕБ-Плас"</v>
          </cell>
          <cell r="E101" t="str">
            <v>Calc.</v>
          </cell>
          <cell r="F101" t="str">
            <v>$</v>
          </cell>
        </row>
        <row r="103">
          <cell r="A103" t="str">
            <v>7. PeterStar local traffic</v>
          </cell>
          <cell r="B103" t="str">
            <v>Input</v>
          </cell>
          <cell r="C103" t="str">
            <v>min.</v>
          </cell>
          <cell r="D103" t="str">
            <v>7. Местный трафик через сеть "ПетерСтар"</v>
          </cell>
          <cell r="E103" t="str">
            <v>Input</v>
          </cell>
          <cell r="F103" t="str">
            <v>мин.</v>
          </cell>
        </row>
        <row r="104">
          <cell r="A104" t="str">
            <v>Tariff per minute incl.VAT</v>
          </cell>
          <cell r="B104" t="str">
            <v>Input</v>
          </cell>
          <cell r="C104" t="str">
            <v>$</v>
          </cell>
          <cell r="D104" t="str">
            <v>Тариф за 1 мин. (с НДС)</v>
          </cell>
          <cell r="E104" t="str">
            <v>Input</v>
          </cell>
          <cell r="F104" t="str">
            <v>$</v>
          </cell>
        </row>
        <row r="105">
          <cell r="A105" t="str">
            <v>PeterStar costs incl.VAT (+monthly fee for 21 phone)</v>
          </cell>
          <cell r="B105" t="str">
            <v>Calc.</v>
          </cell>
          <cell r="C105" t="str">
            <v>$</v>
          </cell>
          <cell r="D105" t="str">
            <v>Оплата услуг "ПетерСтар" (с НДС)</v>
          </cell>
          <cell r="E105" t="str">
            <v>Calc.</v>
          </cell>
          <cell r="F105" t="str">
            <v>$</v>
          </cell>
        </row>
        <row r="106">
          <cell r="A106" t="str">
            <v>Paper card traffic</v>
          </cell>
          <cell r="B106" t="str">
            <v>Calc.</v>
          </cell>
          <cell r="C106" t="str">
            <v>$</v>
          </cell>
          <cell r="D106" t="str">
            <v>Трафик бумажных карт</v>
          </cell>
          <cell r="E106" t="str">
            <v>Calc.</v>
          </cell>
          <cell r="F106" t="str">
            <v>$</v>
          </cell>
        </row>
        <row r="107">
          <cell r="A107" t="str">
            <v>Vasilievsky Island traffic (incl. VAT)</v>
          </cell>
          <cell r="B107" t="str">
            <v>Calc.</v>
          </cell>
          <cell r="C107" t="str">
            <v>$</v>
          </cell>
          <cell r="D107" t="str">
            <v>Трафик Васильевского острова (вкл. НДС)</v>
          </cell>
          <cell r="E107" t="str">
            <v>Calc.</v>
          </cell>
          <cell r="F107" t="str">
            <v>$</v>
          </cell>
        </row>
        <row r="109">
          <cell r="A109" t="str">
            <v>8. Metrocom local traffic</v>
          </cell>
          <cell r="C109" t="str">
            <v>units</v>
          </cell>
          <cell r="D109" t="str">
            <v>8.  Местный трафик "Метроком"</v>
          </cell>
          <cell r="F109" t="str">
            <v>т.е.</v>
          </cell>
        </row>
        <row r="110">
          <cell r="A110" t="str">
            <v>Average unit price, incl. VAT</v>
          </cell>
          <cell r="C110" t="str">
            <v>$</v>
          </cell>
          <cell r="D110" t="str">
            <v>Ср.цена тарифной ед. вкл.НДС</v>
          </cell>
          <cell r="F110" t="str">
            <v>$</v>
          </cell>
        </row>
        <row r="111">
          <cell r="A111" t="str">
            <v>Metrocom costs incl.VAT</v>
          </cell>
          <cell r="C111" t="str">
            <v>$</v>
          </cell>
          <cell r="D111" t="str">
            <v>Оплата трафика "Метроком" (с НДС)</v>
          </cell>
          <cell r="F111" t="str">
            <v>$</v>
          </cell>
        </row>
        <row r="113">
          <cell r="A113" t="str">
            <v>9. Other traffic payments</v>
          </cell>
          <cell r="D113" t="str">
            <v>9. Оплата прочего трафика</v>
          </cell>
        </row>
        <row r="114">
          <cell r="A114" t="str">
            <v>Traffic payments</v>
          </cell>
          <cell r="D114" t="str">
            <v>Оплата трафика</v>
          </cell>
          <cell r="F114" t="str">
            <v>$</v>
          </cell>
        </row>
        <row r="115">
          <cell r="A115" t="str">
            <v>Barter payments (cards)</v>
          </cell>
          <cell r="D115" t="str">
            <v>Взаимозачеты по картам</v>
          </cell>
          <cell r="F115" t="str">
            <v>$</v>
          </cell>
        </row>
        <row r="116">
          <cell r="A116" t="str">
            <v>Total</v>
          </cell>
          <cell r="D116" t="str">
            <v>Всего</v>
          </cell>
        </row>
        <row r="118">
          <cell r="A118" t="str">
            <v>10. Traffic trends</v>
          </cell>
          <cell r="D118" t="str">
            <v>9. ТЕНДЕНЦИИ ТРАФИКА</v>
          </cell>
        </row>
        <row r="119">
          <cell r="A119" t="str">
            <v>-Local</v>
          </cell>
          <cell r="B119" t="str">
            <v>Input</v>
          </cell>
          <cell r="C119" t="str">
            <v>%</v>
          </cell>
          <cell r="D119" t="str">
            <v>-Местный</v>
          </cell>
          <cell r="E119" t="str">
            <v>Input</v>
          </cell>
          <cell r="F119" t="str">
            <v>%</v>
          </cell>
        </row>
        <row r="120">
          <cell r="A120" t="str">
            <v>-National</v>
          </cell>
          <cell r="B120" t="str">
            <v>Input</v>
          </cell>
          <cell r="C120" t="str">
            <v>%</v>
          </cell>
          <cell r="D120" t="str">
            <v>-Междугородный</v>
          </cell>
          <cell r="E120" t="str">
            <v>Input</v>
          </cell>
          <cell r="F120" t="str">
            <v>%</v>
          </cell>
        </row>
        <row r="121">
          <cell r="A121" t="str">
            <v>-International</v>
          </cell>
          <cell r="B121" t="str">
            <v>Input</v>
          </cell>
          <cell r="C121" t="str">
            <v>%</v>
          </cell>
          <cell r="D121" t="str">
            <v>-Международный</v>
          </cell>
          <cell r="E121" t="str">
            <v>Input</v>
          </cell>
          <cell r="F121" t="str">
            <v>%</v>
          </cell>
        </row>
        <row r="123">
          <cell r="A123" t="str">
            <v>11. Traffic in min</v>
          </cell>
          <cell r="D123" t="str">
            <v>10. ТРАФИК</v>
          </cell>
        </row>
        <row r="124">
          <cell r="A124" t="str">
            <v>-Local</v>
          </cell>
          <cell r="B124" t="str">
            <v>Calc.</v>
          </cell>
          <cell r="C124" t="str">
            <v>min.</v>
          </cell>
          <cell r="D124" t="str">
            <v>-Местный</v>
          </cell>
          <cell r="E124" t="str">
            <v>Calc.</v>
          </cell>
          <cell r="F124" t="str">
            <v>мин.</v>
          </cell>
        </row>
        <row r="125">
          <cell r="A125" t="str">
            <v>-National</v>
          </cell>
          <cell r="B125" t="str">
            <v>Calc.</v>
          </cell>
          <cell r="C125" t="str">
            <v>min.</v>
          </cell>
          <cell r="D125" t="str">
            <v>-Междугородный</v>
          </cell>
          <cell r="E125" t="str">
            <v>Calc.</v>
          </cell>
          <cell r="F125" t="str">
            <v>мин.</v>
          </cell>
        </row>
        <row r="126">
          <cell r="A126" t="str">
            <v>-International</v>
          </cell>
          <cell r="B126" t="str">
            <v>Calc.</v>
          </cell>
          <cell r="C126" t="str">
            <v>min.</v>
          </cell>
          <cell r="D126" t="str">
            <v>-Международный</v>
          </cell>
          <cell r="E126" t="str">
            <v>Calc.</v>
          </cell>
          <cell r="F126" t="str">
            <v>мин.</v>
          </cell>
        </row>
        <row r="152">
          <cell r="D152" t="str">
            <v>Трафик от обычных таксофонов</v>
          </cell>
        </row>
        <row r="153">
          <cell r="D153" t="str">
            <v>-Междугородный</v>
          </cell>
        </row>
        <row r="154">
          <cell r="D154" t="str">
            <v>-Международный</v>
          </cell>
        </row>
        <row r="156">
          <cell r="D156" t="str">
            <v>Процент увеличения трафика от дайлеров</v>
          </cell>
        </row>
        <row r="157">
          <cell r="D157" t="str">
            <v>-Междугородный</v>
          </cell>
        </row>
        <row r="158">
          <cell r="D158" t="str">
            <v>-Международный</v>
          </cell>
        </row>
        <row r="160">
          <cell r="D160" t="str">
            <v>Кол-во новых таксофонов</v>
          </cell>
        </row>
        <row r="161">
          <cell r="A161" t="str">
            <v>Traffic growth after installation</v>
          </cell>
          <cell r="B161" t="str">
            <v>Рост трафика после установки</v>
          </cell>
          <cell r="D161" t="str">
            <v>Рост трафика после установки</v>
          </cell>
        </row>
        <row r="162">
          <cell r="D162" t="str">
            <v xml:space="preserve">трафик комби-таксофонов </v>
          </cell>
          <cell r="F162" t="str">
            <v>мин</v>
          </cell>
        </row>
        <row r="163">
          <cell r="A163" t="str">
            <v>-Local</v>
          </cell>
          <cell r="D163" t="str">
            <v>-Местный</v>
          </cell>
          <cell r="E163" t="str">
            <v>Calc.</v>
          </cell>
          <cell r="F163" t="str">
            <v>мин.</v>
          </cell>
        </row>
        <row r="164">
          <cell r="A164" t="str">
            <v>-National</v>
          </cell>
          <cell r="D164" t="str">
            <v>-Междугородный</v>
          </cell>
          <cell r="E164" t="str">
            <v>Calc.</v>
          </cell>
          <cell r="F164" t="str">
            <v>мин.</v>
          </cell>
        </row>
        <row r="165">
          <cell r="A165" t="str">
            <v>-International</v>
          </cell>
          <cell r="D165" t="str">
            <v>-Международный</v>
          </cell>
          <cell r="E165" t="str">
            <v>Calc.</v>
          </cell>
          <cell r="F165" t="str">
            <v>мин.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>
        <row r="3">
          <cell r="A3" t="str">
            <v>TABLE 4</v>
          </cell>
        </row>
      </sheetData>
      <sheetData sheetId="79">
        <row r="3">
          <cell r="A3" t="str">
            <v>TABLE 5</v>
          </cell>
        </row>
      </sheetData>
      <sheetData sheetId="80">
        <row r="3">
          <cell r="A3" t="str">
            <v>TABLE 6</v>
          </cell>
        </row>
      </sheetData>
      <sheetData sheetId="81">
        <row r="3">
          <cell r="A3" t="str">
            <v>TABLE 6</v>
          </cell>
        </row>
      </sheetData>
      <sheetData sheetId="82">
        <row r="3">
          <cell r="A3" t="str">
            <v>TABLE 5</v>
          </cell>
        </row>
      </sheetData>
      <sheetData sheetId="83">
        <row r="3">
          <cell r="A3" t="str">
            <v>TABLE 6</v>
          </cell>
        </row>
      </sheetData>
      <sheetData sheetId="84">
        <row r="3">
          <cell r="A3" t="str">
            <v>TABLE 6</v>
          </cell>
        </row>
      </sheetData>
      <sheetData sheetId="85">
        <row r="3">
          <cell r="A3" t="str">
            <v>TABLE 6</v>
          </cell>
        </row>
      </sheetData>
      <sheetData sheetId="86">
        <row r="3">
          <cell r="A3" t="str">
            <v>TABLE 6</v>
          </cell>
        </row>
      </sheetData>
      <sheetData sheetId="87">
        <row r="3">
          <cell r="A3" t="str">
            <v>TABLE 6</v>
          </cell>
        </row>
      </sheetData>
      <sheetData sheetId="88">
        <row r="3">
          <cell r="A3" t="str">
            <v>TABLE 6</v>
          </cell>
        </row>
      </sheetData>
      <sheetData sheetId="89">
        <row r="3">
          <cell r="A3" t="str">
            <v>TABLE 6</v>
          </cell>
        </row>
      </sheetData>
      <sheetData sheetId="90">
        <row r="3">
          <cell r="A3" t="str">
            <v>TABLE 6</v>
          </cell>
        </row>
      </sheetData>
      <sheetData sheetId="91">
        <row r="3">
          <cell r="A3" t="str">
            <v>TABLE 5</v>
          </cell>
        </row>
      </sheetData>
      <sheetData sheetId="92">
        <row r="3">
          <cell r="A3" t="str">
            <v>TABLE 6</v>
          </cell>
        </row>
      </sheetData>
      <sheetData sheetId="93"/>
      <sheetData sheetId="94">
        <row r="3">
          <cell r="A3" t="str">
            <v>TABLE 6</v>
          </cell>
        </row>
      </sheetData>
      <sheetData sheetId="95"/>
      <sheetData sheetId="96">
        <row r="3">
          <cell r="A3" t="str">
            <v>TABLE 6</v>
          </cell>
        </row>
      </sheetData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>
        <row r="1">
          <cell r="A1" t="str">
            <v>АО Газстройпроект</v>
          </cell>
        </row>
      </sheetData>
      <sheetData sheetId="104"/>
      <sheetData sheetId="105"/>
      <sheetData sheetId="106"/>
      <sheetData sheetId="107">
        <row r="1">
          <cell r="C1">
            <v>0</v>
          </cell>
        </row>
      </sheetData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>
        <row r="3">
          <cell r="A3" t="str">
            <v>TABLE 4</v>
          </cell>
        </row>
      </sheetData>
      <sheetData sheetId="139">
        <row r="3">
          <cell r="A3" t="str">
            <v>TABLE 5</v>
          </cell>
        </row>
      </sheetData>
      <sheetData sheetId="140">
        <row r="3">
          <cell r="A3" t="str">
            <v>TABLE 6</v>
          </cell>
        </row>
      </sheetData>
      <sheetData sheetId="141">
        <row r="3">
          <cell r="A3" t="str">
            <v>TABLE 6</v>
          </cell>
        </row>
      </sheetData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/>
      <sheetData sheetId="149"/>
      <sheetData sheetId="150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афики прихода (расчет)"/>
      <sheetName val="Графики прихода (итог)"/>
      <sheetName val="Факт EUR in USD"/>
      <sheetName val="ИТОГО  прогноз расчет вариантов"/>
      <sheetName val="Расчет прямых номеров"/>
      <sheetName val="Запчасти (Баров)"/>
      <sheetName val="Частоты"/>
      <sheetName val="Эксплуатация NMT"/>
      <sheetName val="Трафик"/>
      <sheetName val="Трафик IMT"/>
      <sheetName val="Аб. обор-ие"/>
      <sheetName val="Terms"/>
      <sheetName val="Аренда каналов"/>
      <sheetName val="Расх. на персонал"/>
      <sheetName val="Аренда и охрана офиса"/>
      <sheetName val="ремонт и содержание офиса"/>
      <sheetName val="Налоги "/>
      <sheetName val="Обслуживание долга"/>
      <sheetName val="Закупка компьютеров"/>
      <sheetName val="Обслуж. компьютеров и сети"/>
      <sheetName val="Трафик Интернет"/>
      <sheetName val="Прочее"/>
      <sheetName val="Затраты на новые технологии"/>
      <sheetName val="Forecast"/>
      <sheetName val="Actual payments"/>
      <sheetName val="Сумма"/>
      <sheetName val="KEY"/>
      <sheetName val="Данные"/>
      <sheetName val="REPORT"/>
      <sheetName val="SENSITIVITY"/>
      <sheetName val="TRAFFIC CALC"/>
      <sheetName val="TRAFFIC PARM"/>
      <sheetName val="ECONOMIC DATA"/>
      <sheetName val="Data Sheet"/>
      <sheetName val="CSCCincSKR"/>
      <sheetName val="Proforma"/>
      <sheetName val="Payroll"/>
      <sheetName val="осв ОАО (2)"/>
      <sheetName val="BS"/>
      <sheetName val="Сценарии"/>
      <sheetName val="ФД"/>
      <sheetName val="Lib"/>
      <sheetName val="Прогноз декабрь апрель 2004"/>
      <sheetName val="InpC"/>
      <sheetName val="XLR_NoRangeSheet"/>
      <sheetName val="трансформация1"/>
      <sheetName val="Control"/>
      <sheetName val="Settl.Finanacing"/>
      <sheetName val="P&amp;L"/>
      <sheetName val="Баланс hti"/>
      <sheetName val="кфп-с-м2м "/>
      <sheetName val="Breakdown AR"/>
      <sheetName val="Графики_прихода_(расчет)"/>
      <sheetName val="Графики_прихода_(итог)"/>
      <sheetName val="Факт_EUR_in_USD"/>
      <sheetName val="ИТОГО__прогноз_расчет_вариантов"/>
      <sheetName val="Расчет_прямых_номеров"/>
      <sheetName val="Запчасти_(Баров)"/>
      <sheetName val="Эксплуатация_NMT"/>
      <sheetName val="Трафик_IMT"/>
      <sheetName val="Аб__обор-ие"/>
      <sheetName val="Аренда_каналов"/>
      <sheetName val="Расх__на_персонал"/>
      <sheetName val="Аренда_и_охрана_офиса"/>
      <sheetName val="ремонт_и_содержание_офиса"/>
      <sheetName val="Налоги_"/>
      <sheetName val="Обслуживание_долга"/>
      <sheetName val="Закупка_компьютеров"/>
      <sheetName val="Обслуж__компьютеров_и_сети"/>
      <sheetName val="Трафик_Интернет"/>
      <sheetName val="Затраты_на_новые_технологии"/>
      <sheetName val="Actual_payments"/>
      <sheetName val="Прогноз_декабрь_апрель_2004"/>
      <sheetName val="Tickmarks"/>
      <sheetName val="Assumptions"/>
      <sheetName val="Соответствие статей БДР-ДДС"/>
      <sheetName val="статьи"/>
      <sheetName val="MEX95IB"/>
      <sheetName val="WIVRA"/>
      <sheetName val="Data_CF"/>
      <sheetName val="SAS TB 6m2006"/>
      <sheetName val="Справочник статей"/>
      <sheetName val="ДИН2014"/>
      <sheetName val="Информация"/>
      <sheetName val=" "/>
      <sheetName val="Гренобль Ту-204"/>
      <sheetName val="Dropdown list"/>
      <sheetName val="Прайс Лист"/>
      <sheetName val="оглавление"/>
      <sheetName val="Список регионов"/>
      <sheetName val="Выпадающие списки"/>
      <sheetName val="Index"/>
      <sheetName val="BS Act_by month"/>
      <sheetName val="CapEx"/>
      <sheetName val="CF act"/>
      <sheetName val="CF BB"/>
      <sheetName val="HC"/>
      <sheetName val="P&amp;L Act_month"/>
      <sheetName val="P&amp;L BB_month"/>
      <sheetName val="EBITDA Bridges v Budget"/>
      <sheetName val="indicative ref margin"/>
      <sheetName val="SAD"/>
      <sheetName val="ИСХОДНИК"/>
      <sheetName val="Sub group code &amp; Name"/>
      <sheetName val="Input_Assumptions"/>
      <sheetName val="Bendra"/>
      <sheetName val="S 60"/>
      <sheetName val="Заказы"/>
      <sheetName val=""/>
      <sheetName val="Прогноз%20декабрь%20апрель%2020"/>
      <sheetName val="Total Revenue"/>
      <sheetName val="Справочник"/>
      <sheetName val="Adjustment schedule"/>
      <sheetName val="тех.лист"/>
      <sheetName val="Rates"/>
      <sheetName val="фасады общий"/>
      <sheetName val="Справочник МВЗ"/>
      <sheetName val="Справочник ДДС"/>
      <sheetName val="Segmental Analysis"/>
      <sheetName val="CPS &amp; CbC"/>
      <sheetName val="Счетчик вопросов"/>
      <sheetName val="Справочники"/>
      <sheetName val="Date 2"/>
      <sheetName val="schsts"/>
      <sheetName val="Year 3"/>
      <sheetName val="ITALIANS"/>
      <sheetName val="Segment_OIBDA"/>
      <sheetName val="Service"/>
      <sheetName val="ВГО"/>
      <sheetName val="Лист"/>
      <sheetName val="Факт Dink-Inv 2004"/>
      <sheetName val="Графики_прихода_(расчет)1"/>
      <sheetName val="Графики_прихода_(итог)1"/>
      <sheetName val="Факт_EUR_in_USD1"/>
      <sheetName val="ИТОГО__прогноз_расчет_варианто1"/>
      <sheetName val="Расчет_прямых_номеров1"/>
      <sheetName val="Запчасти_(Баров)1"/>
      <sheetName val="Эксплуатация_NMT1"/>
      <sheetName val="Трафик_IMT1"/>
      <sheetName val="Аб__обор-ие1"/>
      <sheetName val="Аренда_каналов1"/>
      <sheetName val="Расх__на_персонал1"/>
      <sheetName val="Аренда_и_охрана_офиса1"/>
      <sheetName val="ремонт_и_содержание_офиса1"/>
      <sheetName val="Налоги_1"/>
      <sheetName val="Обслуживание_долга1"/>
      <sheetName val="Закупка_компьютеров1"/>
      <sheetName val="Обслуж__компьютеров_и_сети1"/>
      <sheetName val="Трафик_Интернет1"/>
      <sheetName val="Затраты_на_новые_технологии1"/>
      <sheetName val="Actual_payments1"/>
      <sheetName val="TRAFFIC_CALC"/>
      <sheetName val="TRAFFIC_PARM"/>
      <sheetName val="ECONOMIC_DATA"/>
      <sheetName val="Data_Sheet"/>
      <sheetName val="осв_ОАО_(2)"/>
      <sheetName val="Прогноз_декабрь_апрель_20041"/>
      <sheetName val="Settl_Finanacing"/>
      <sheetName val="Баланс_hti"/>
      <sheetName val="кфп-с-м2м_"/>
      <sheetName val="Breakdown_AR"/>
      <sheetName val="Соответствие_статей_БДР-ДДС"/>
      <sheetName val="SAS_TB_6m2006"/>
      <sheetName val="Справочник_статей"/>
      <sheetName val="_"/>
      <sheetName val="РИСКИ 2010"/>
      <sheetName val="РИСКИ2011"/>
      <sheetName val="Справочник статей БУ "/>
      <sheetName val="Ставка"/>
      <sheetName val="списки"/>
      <sheetName val="АТСи"/>
      <sheetName val="Прайс_Лист"/>
      <sheetName val="Гренобль_Ту-204"/>
      <sheetName val="Dropdown_list"/>
      <sheetName val="Список_регионов"/>
      <sheetName val="Выпадающие_списки"/>
      <sheetName val="Направления деятельности"/>
      <sheetName val="indicative_ref_margin"/>
      <sheetName val="indicative_ref_margin1"/>
      <sheetName val="Графики_прихода_(расчет)2"/>
      <sheetName val="Графики_прихода_(итог)2"/>
      <sheetName val="Факт_EUR_in_USD2"/>
      <sheetName val="ИТОГО__прогноз_расчет_варианто2"/>
      <sheetName val="Расчет_прямых_номеров2"/>
      <sheetName val="Запчасти_(Баров)2"/>
      <sheetName val="Эксплуатация_NMT2"/>
      <sheetName val="Трафик_IMT2"/>
      <sheetName val="Аб__обор-ие2"/>
      <sheetName val="Аренда_каналов2"/>
      <sheetName val="Расх__на_персонал2"/>
      <sheetName val="Аренда_и_охрана_офиса2"/>
      <sheetName val="ремонт_и_содержание_офиса2"/>
      <sheetName val="Налоги_2"/>
      <sheetName val="Обслуживание_долга2"/>
      <sheetName val="Закупка_компьютеров2"/>
      <sheetName val="Обслуж__компьютеров_и_сети2"/>
      <sheetName val="Трафик_Интернет2"/>
      <sheetName val="Затраты_на_новые_технологии2"/>
      <sheetName val="Actual_payments2"/>
      <sheetName val="indicative_ref_margin2"/>
      <sheetName val="Графики_прихода_(расчет)3"/>
      <sheetName val="Графики_прихода_(итог)3"/>
      <sheetName val="Факт_EUR_in_USD3"/>
      <sheetName val="ИТОГО__прогноз_расчет_варианто3"/>
      <sheetName val="Расчет_прямых_номеров3"/>
      <sheetName val="Запчасти_(Баров)3"/>
      <sheetName val="Эксплуатация_NMT3"/>
      <sheetName val="Трафик_IMT3"/>
      <sheetName val="Аб__обор-ие3"/>
      <sheetName val="Аренда_каналов3"/>
      <sheetName val="Расх__на_персонал3"/>
      <sheetName val="Аренда_и_охрана_офиса3"/>
      <sheetName val="ремонт_и_содержание_офиса3"/>
      <sheetName val="Налоги_3"/>
      <sheetName val="Обслуживание_долга3"/>
      <sheetName val="Закупка_компьютеров3"/>
      <sheetName val="Обслуж__компьютеров_и_сети3"/>
      <sheetName val="Трафик_Интернет3"/>
      <sheetName val="Затраты_на_новые_технологии3"/>
      <sheetName val="Actual_payments3"/>
      <sheetName val="indicative_ref_margin3"/>
      <sheetName val="Графики_прихода_(расчет)4"/>
      <sheetName val="Графики_прихода_(итог)4"/>
      <sheetName val="Факт_EUR_in_USD4"/>
      <sheetName val="ИТОГО__прогноз_расчет_варианто4"/>
      <sheetName val="Расчет_прямых_номеров4"/>
      <sheetName val="Запчасти_(Баров)4"/>
      <sheetName val="Эксплуатация_NMT4"/>
      <sheetName val="Трафик_IMT4"/>
      <sheetName val="Аб__обор-ие4"/>
      <sheetName val="Аренда_каналов4"/>
      <sheetName val="Расх__на_персонал4"/>
      <sheetName val="Аренда_и_охрана_офиса4"/>
      <sheetName val="ремонт_и_содержание_офиса4"/>
      <sheetName val="Налоги_4"/>
      <sheetName val="Обслуживание_долга4"/>
      <sheetName val="Закупка_компьютеров4"/>
      <sheetName val="Обслуж__компьютеров_и_сети4"/>
      <sheetName val="Трафик_Интернет4"/>
      <sheetName val="Затраты_на_новые_технологии4"/>
      <sheetName val="Actual_payments4"/>
      <sheetName val="indicative_ref_margin4"/>
      <sheetName val="TRAFFIC_CALC1"/>
      <sheetName val="TRAFFIC_PARM1"/>
      <sheetName val="ECONOMIC_DATA1"/>
      <sheetName val="осв_ОАО_(2)1"/>
      <sheetName val="Data_Sheet1"/>
      <sheetName val="СВОДНАЯ "/>
      <sheetName val="Презентация"/>
      <sheetName val="Прочие ДиР"/>
      <sheetName val="К-ДДС"/>
      <sheetName val="PL_Base"/>
      <sheetName val="1C_Base"/>
      <sheetName val="BS ГК МТ"/>
      <sheetName val="PL ГК МТ"/>
      <sheetName val="CF_Base"/>
      <sheetName val="Loans"/>
      <sheetName val="IFRS corr"/>
      <sheetName val="Свод &quot;К&quot;"/>
      <sheetName val="3. 2013 - перенос на ПМТВ"/>
      <sheetName val="Imputed %"/>
      <sheetName val="Lib BS"/>
      <sheetName val="Список компаний группы"/>
      <sheetName val="Global"/>
      <sheetName val="устр-во опорное"/>
      <sheetName val="Круг 6 листов "/>
      <sheetName val="i-network capex costs"/>
      <sheetName val="ЧМЗ Budget"/>
      <sheetName val="1997 fin. res."/>
      <sheetName val="exch. rates"/>
      <sheetName val="саратов (2)"/>
      <sheetName val="XREF"/>
      <sheetName val="comps"/>
      <sheetName val="лист1"/>
      <sheetName val="Макропараметры"/>
      <sheetName val="Macro&amp;general assump"/>
      <sheetName val="Damodaran Industry Beta 2015"/>
      <sheetName val="Debt"/>
      <sheetName val="U-26_Power"/>
      <sheetName val="BS_Act_by_month"/>
      <sheetName val="CF_act"/>
      <sheetName val="CF_BB"/>
      <sheetName val="P&amp;L_Act_month"/>
      <sheetName val="P&amp;L_BB_month"/>
      <sheetName val="S_60"/>
      <sheetName val="ТИТУЛЬНЫЙ"/>
      <sheetName val="П"/>
      <sheetName val="natl consult reg."/>
      <sheetName val="cus_HK1033"/>
      <sheetName val="Client Information"/>
      <sheetName val="Тех. реализация"/>
      <sheetName val="Control_ЦБО"/>
      <sheetName val="3.INP-GEN"/>
      <sheetName val="2.INP-Timeline"/>
      <sheetName val="1.INP-Scenario"/>
      <sheetName val="Чернигов"/>
      <sheetName val="Reconciliation"/>
      <sheetName val="usage_assumption"/>
      <sheetName val="Dir"/>
      <sheetName val="macro"/>
      <sheetName val="$Out_For_Database"/>
      <sheetName val="КУУ"/>
      <sheetName val="Budget presentation back up"/>
      <sheetName val="БДР"/>
      <sheetName val="Directory"/>
      <sheetName val=" 8230.07+"/>
      <sheetName val="8230.06+"/>
      <sheetName val="хранение 8230.08+"/>
      <sheetName val="+5610.04"/>
      <sheetName val="PL"/>
      <sheetName val="Capexsales"/>
      <sheetName val="Нормативы"/>
      <sheetName val="CARDS"/>
      <sheetName val="CONTRIBUTION"/>
      <sheetName val="DELTA"/>
      <sheetName val="FIXED ASSETS"/>
      <sheetName val="SALARIES"/>
      <sheetName val="SETTL - RBL"/>
      <sheetName val="SETTL - USD"/>
      <sheetName val="SPARES - BOOTHS"/>
      <sheetName val="SPARES - PAYPHONES"/>
      <sheetName val="STAFF"/>
      <sheetName val="VAT"/>
      <sheetName val="LSE_Trading Data"/>
      <sheetName val="Analysis_Graph"/>
      <sheetName val="с.660"/>
      <sheetName val="ДФВ"/>
      <sheetName val="CurRates"/>
      <sheetName val="Menu"/>
      <sheetName val="Income"/>
      <sheetName val="COST-TZ"/>
      <sheetName val="INP"/>
      <sheetName val="%D0%9F%D1%80%D0%BE%D0%B3%D0%BD%"/>
      <sheetName val="СТ ОЭ"/>
      <sheetName val="Q 2"/>
      <sheetName val="Validation Tables"/>
      <sheetName val="Lots1127"/>
      <sheetName val="Adjustment_schedule"/>
      <sheetName val="Total_Revenue"/>
      <sheetName val="Sub_group_code_&amp;_Name"/>
      <sheetName val="тех_лист"/>
      <sheetName val="PL.2013.01"/>
      <sheetName val="Доп инфо"/>
      <sheetName val="ОСВ"/>
      <sheetName val="EBITDA Bridge"/>
      <sheetName val="IVA Estimado"/>
      <sheetName val="산근"/>
      <sheetName val="Общ"/>
      <sheetName val="갑지"/>
      <sheetName val="Katsayılar"/>
      <sheetName val="a) Core Financials"/>
      <sheetName val="Все статьи"/>
      <sheetName val="VKPM"/>
      <sheetName val="FA rollforward Bank"/>
      <sheetName val="dic"/>
      <sheetName val="СтрЗапасов (2)"/>
      <sheetName val="sapactivexlhiddensheet"/>
      <sheetName val="Data"/>
      <sheetName val="ExchRate"/>
      <sheetName val="Controls"/>
      <sheetName val="Авансы по СНГ"/>
      <sheetName val="IncStat 03-04"/>
      <sheetName val="IncStat 03  "/>
      <sheetName val="11"/>
      <sheetName val="regs"/>
      <sheetName val="Графики_прихода_(расчет)5"/>
      <sheetName val="Графики_прихода_(итог)5"/>
      <sheetName val="Факт_EUR_in_USD5"/>
      <sheetName val="ИТОГО__прогноз_расчет_варианто5"/>
      <sheetName val="Расчет_прямых_номеров5"/>
      <sheetName val="Запчасти_(Баров)5"/>
      <sheetName val="Эксплуатация_NMT5"/>
      <sheetName val="Трафик_IMT5"/>
      <sheetName val="Аб__обор-ие5"/>
      <sheetName val="Аренда_каналов5"/>
      <sheetName val="Расх__на_персонал5"/>
      <sheetName val="Аренда_и_охрана_офиса5"/>
      <sheetName val="ремонт_и_содержание_офиса5"/>
      <sheetName val="Налоги_5"/>
      <sheetName val="Обслуживание_долга5"/>
      <sheetName val="Закупка_компьютеров5"/>
      <sheetName val="Обслуж__компьютеров_и_сети5"/>
      <sheetName val="Трафик_Интернет5"/>
      <sheetName val="Затраты_на_новые_технологии5"/>
      <sheetName val="Actual_payments5"/>
      <sheetName val="осв_ОАО_(2)2"/>
      <sheetName val="TRAFFIC_CALC2"/>
      <sheetName val="TRAFFIC_PARM2"/>
      <sheetName val="ECONOMIC_DATA2"/>
      <sheetName val="Прогноз_декабрь_апрель_20042"/>
      <sheetName val="Data_Sheet2"/>
      <sheetName val="Settl_Finanacing1"/>
      <sheetName val="Баланс_hti1"/>
      <sheetName val="кфп-с-м2м_1"/>
      <sheetName val="Соответствие_статей_БДР-ДДС1"/>
      <sheetName val="Breakdown_AR1"/>
      <sheetName val="SAS_TB_6m20061"/>
      <sheetName val="Прайс_Лист1"/>
      <sheetName val="Список_регионов1"/>
      <sheetName val="Справочник_статей1"/>
      <sheetName val="_1"/>
      <sheetName val="Выпадающие_списки1"/>
      <sheetName val="indicative_ref_margin5"/>
      <sheetName val="Гренобль_Ту-2041"/>
      <sheetName val="Dropdown_list1"/>
      <sheetName val="BS_Act_by_month1"/>
      <sheetName val="CF_act1"/>
      <sheetName val="CF_BB1"/>
      <sheetName val="P&amp;L_Act_month1"/>
      <sheetName val="P&amp;L_BB_month1"/>
      <sheetName val="EBITDA_Bridges_v_Budget"/>
      <sheetName val="S_601"/>
      <sheetName val="Total_Revenue1"/>
      <sheetName val="Sub_group_code_&amp;_Name1"/>
      <sheetName val="Adjustment_schedule1"/>
      <sheetName val="Date_2"/>
      <sheetName val="Segmental_Analysis"/>
      <sheetName val="CPS_&amp;_CbC"/>
      <sheetName val="Справочник_статей_БУ_"/>
      <sheetName val="Направления_деятельности"/>
      <sheetName val="тех_лист1"/>
      <sheetName val="РИСКИ_2010"/>
      <sheetName val="Year_3"/>
      <sheetName val="СВОДНАЯ_"/>
      <sheetName val="i-network_capex_costs"/>
      <sheetName val="Справочник_МВЗ"/>
      <sheetName val="Справочник_ДДС"/>
      <sheetName val="Тех__реализация"/>
      <sheetName val="natl_consult_reg_"/>
      <sheetName val="Macro&amp;general_assump"/>
      <sheetName val="Damodaran_Industry_Beta_2015"/>
      <sheetName val="Факт_Dink-Inv_2004"/>
      <sheetName val="Прочие_ДиР"/>
      <sheetName val="BS_ГК_МТ"/>
      <sheetName val="PL_ГК_МТ"/>
      <sheetName val="IFRS_corr"/>
      <sheetName val="Свод_&quot;К&quot;"/>
      <sheetName val="3__2013_-_перенос_на_ПМТВ"/>
      <sheetName val="Imputed_%"/>
      <sheetName val="Lib_BS"/>
      <sheetName val="Список_компаний_группы"/>
      <sheetName val="ЧМЗ_Budget"/>
      <sheetName val="3_INP-GEN"/>
      <sheetName val="2_INP-Timeline"/>
      <sheetName val="1_INP-Scenario"/>
      <sheetName val="фасады_общий"/>
      <sheetName val="саратов_(2)"/>
      <sheetName val="Budget_presentation_back_up"/>
      <sheetName val="_8230_07+"/>
      <sheetName val="8230_06+"/>
      <sheetName val="хранение_8230_08+"/>
      <sheetName val="+5610_04"/>
      <sheetName val="LSE_Trading_Data"/>
      <sheetName val="FIXED_ASSETS"/>
      <sheetName val="SETTL_-_RBL"/>
      <sheetName val="SETTL_-_USD"/>
      <sheetName val="SPARES_-_BOOTHS"/>
      <sheetName val="SPARES_-_PAYPHONES"/>
      <sheetName val="Счетчик_вопросов"/>
      <sheetName val="Client_Information"/>
      <sheetName val="с_660"/>
      <sheetName val="устр-во_опорное"/>
      <sheetName val="Круг_6_листов_"/>
      <sheetName val="СТ_ОЭ"/>
      <sheetName val="PL_2013_01"/>
      <sheetName val="Validation_Tables"/>
      <sheetName val="1997_fin__res_"/>
      <sheetName val="exch__rates"/>
      <sheetName val="MD"/>
      <sheetName val="ГК лохл"/>
      <sheetName val="FS Consol"/>
      <sheetName val="Division - Dairy"/>
      <sheetName val="Division - Juice"/>
      <sheetName val="D"/>
      <sheetName val="Input"/>
      <sheetName val="merger"/>
      <sheetName val="Продажа. Рынок РФ"/>
      <sheetName val="key drivers"/>
      <sheetName val="Лист2"/>
      <sheetName val="Variables"/>
      <sheetName val="Sample"/>
      <sheetName val="Отчет о реализации площадей"/>
      <sheetName val="ADJUST"/>
      <sheetName val="울산시산표"/>
      <sheetName val="info"/>
      <sheetName val="Parms"/>
      <sheetName val="CA1"/>
      <sheetName val="Ind. Budget"/>
      <sheetName val="S&amp;U"/>
      <sheetName val="fired heaters"/>
      <sheetName val="sum"/>
      <sheetName val="1"/>
      <sheetName val="Cat A Change Control"/>
      <sheetName val="Construction"/>
      <sheetName val="Time"/>
      <sheetName val="GLC_ratios_Jun"/>
      <sheetName val="Прогноз_декабрь_апрель_20043"/>
      <sheetName val="Баланс_hti2"/>
      <sheetName val="кфп-с-м2м_2"/>
      <sheetName val="Settl_Finanacing2"/>
      <sheetName val="Соответствие_статей_БДР-ДДС2"/>
      <sheetName val="Breakdown_AR2"/>
      <sheetName val="SAS_TB_6m20062"/>
      <sheetName val="Справочник_статей2"/>
      <sheetName val="_2"/>
      <sheetName val="Гренобль_Ту-2042"/>
      <sheetName val="Dropdown_list2"/>
      <sheetName val="Прайс_Лист2"/>
      <sheetName val="Список_регионов2"/>
      <sheetName val="Выпадающие_списки2"/>
      <sheetName val="Справочник_МВЗ1"/>
      <sheetName val="Справочник_ДДС1"/>
      <sheetName val="EBITDA_Bridges_v_Budget1"/>
      <sheetName val="Date_21"/>
      <sheetName val="Segmental_Analysis1"/>
      <sheetName val="CPS_&amp;_CbC1"/>
      <sheetName val="Справочник_статей_БУ_1"/>
      <sheetName val="TRAFFIC_CALC3"/>
      <sheetName val="TRAFFIC_PARM3"/>
      <sheetName val="ECONOMIC_DATA3"/>
      <sheetName val="Data_Sheet3"/>
      <sheetName val="осв_ОАО_(2)3"/>
      <sheetName val="Прогноз_декабрь_апрель_20044"/>
      <sheetName val="Баланс_hti3"/>
      <sheetName val="кфп-с-м2м_3"/>
      <sheetName val="Settl_Finanacing3"/>
      <sheetName val="Соответствие_статей_БДР-ДДС3"/>
      <sheetName val="Breakdown_AR3"/>
      <sheetName val="SAS_TB_6m20063"/>
      <sheetName val="Справочник_статей3"/>
      <sheetName val="_3"/>
      <sheetName val="Гренобль_Ту-2043"/>
      <sheetName val="Dropdown_list3"/>
      <sheetName val="Прайс_Лист3"/>
      <sheetName val="Список_регионов3"/>
      <sheetName val="Выпадающие_списки3"/>
      <sheetName val="S_602"/>
      <sheetName val="Total_Revenue2"/>
      <sheetName val="BS_Act_by_month2"/>
      <sheetName val="CF_act2"/>
      <sheetName val="CF_BB2"/>
      <sheetName val="P&amp;L_Act_month2"/>
      <sheetName val="P&amp;L_BB_month2"/>
      <sheetName val="Sub_group_code_&amp;_Name2"/>
      <sheetName val="Adjustment_schedule2"/>
      <sheetName val="Справочник_МВЗ2"/>
      <sheetName val="Справочник_ДДС2"/>
      <sheetName val="EBITDA_Bridges_v_Budget2"/>
      <sheetName val="Date_22"/>
      <sheetName val="Segmental_Analysis2"/>
      <sheetName val="CPS_&amp;_CbC2"/>
      <sheetName val="Справочник_статей_БУ_2"/>
      <sheetName val="TRAFFIC_CALC4"/>
      <sheetName val="TRAFFIC_PARM4"/>
      <sheetName val="ECONOMIC_DATA4"/>
      <sheetName val="Data_Sheet4"/>
      <sheetName val="осв_ОАО_(2)4"/>
      <sheetName val="Прогноз_декабрь_апрель_20045"/>
      <sheetName val="Баланс_hti4"/>
      <sheetName val="кфп-с-м2м_4"/>
      <sheetName val="Settl_Finanacing4"/>
      <sheetName val="Соответствие_статей_БДР-ДДС4"/>
      <sheetName val="Breakdown_AR4"/>
      <sheetName val="SAS_TB_6m20064"/>
      <sheetName val="Справочник_статей4"/>
      <sheetName val="_4"/>
      <sheetName val="Гренобль_Ту-2044"/>
      <sheetName val="Dropdown_list4"/>
      <sheetName val="Прайс_Лист4"/>
      <sheetName val="Список_регионов4"/>
      <sheetName val="Выпадающие_списки4"/>
      <sheetName val="S_603"/>
      <sheetName val="Total_Revenue3"/>
      <sheetName val="BS_Act_by_month3"/>
      <sheetName val="CF_act3"/>
      <sheetName val="CF_BB3"/>
      <sheetName val="P&amp;L_Act_month3"/>
      <sheetName val="P&amp;L_BB_month3"/>
      <sheetName val="Sub_group_code_&amp;_Name3"/>
      <sheetName val="Adjustment_schedule3"/>
      <sheetName val="Справочник_МВЗ3"/>
      <sheetName val="Справочник_ДДС3"/>
      <sheetName val="EBITDA_Bridges_v_Budget3"/>
      <sheetName val="Date_23"/>
      <sheetName val="Segmental_Analysis3"/>
      <sheetName val="CPS_&amp;_CbC3"/>
      <sheetName val="Справочник_статей_БУ_3"/>
      <sheetName val="lists"/>
      <sheetName val="journals"/>
      <sheetName val="cover"/>
      <sheetName val="Список_групп"/>
      <sheetName val="Data USA Cdn$"/>
      <sheetName val="Data USA US$"/>
      <sheetName val="back up Share Performance"/>
      <sheetName val="Лист11 (2)"/>
      <sheetName val="Лист11"/>
      <sheetName val="Sheet92"/>
      <sheetName val="Cash-Flow"/>
      <sheetName val="ОПУ"/>
      <sheetName val="Исходные данные"/>
      <sheetName val="Справочник для ФЭИ"/>
      <sheetName val="вспомогательные таблицы"/>
      <sheetName val="НДС"/>
      <sheetName val="Вид деятельности"/>
      <sheetName val="Статус"/>
      <sheetName val="валюта"/>
      <sheetName val="#REF"/>
      <sheetName val="Sheet1"/>
      <sheetName val="Rev"/>
      <sheetName val="FCF"/>
      <sheetName val="Schedules"/>
      <sheetName val="common-size"/>
      <sheetName val="Proj. Bal."/>
      <sheetName val="Ratios"/>
      <sheetName val="Read me first"/>
      <sheetName val="Поддерживающий лист"/>
      <sheetName val="Long List"/>
      <sheetName val="Lead"/>
      <sheetName val="пр-во"/>
      <sheetName val="Свод-1"/>
      <sheetName val="Итог по НПО "/>
      <sheetName val="баланс"/>
      <sheetName val="EMBI"/>
      <sheetName val="Svr Eur"/>
      <sheetName val="a)_Core_Financials"/>
      <sheetName val="Авансы_по_СНГ"/>
      <sheetName val="IncStat_03-04"/>
      <sheetName val="IncStat_03__"/>
      <sheetName val="PERSONNELIST"/>
      <sheetName val="TECHSHEET"/>
      <sheetName val=" 31_Oper lease"/>
      <sheetName val="PN's base (250)"/>
      <sheetName val="INFLOW"/>
      <sheetName val="sheet2"/>
      <sheetName val="Risk-Free Rate"/>
      <sheetName val="CMA"/>
      <sheetName val="Предпосылки"/>
      <sheetName val="ICO_budzet_97"/>
      <sheetName val="RSOILBAL"/>
      <sheetName val="INDIRECT COST"/>
      <sheetName val="graph_data"/>
      <sheetName val="бддс"/>
      <sheetName val="Front"/>
      <sheetName val="Jan 06"/>
      <sheetName val="DCF"/>
      <sheetName val="Соответствие_ст_x0000__x0000_Ԁ_x0000_耀㨛㯈_x0002__x0000__x0000_Ā_x0000_"/>
      <sheetName val="Соответствие_ст_x0000__x0000_Ԁ_x0000_闡㯇_x0002__x0000__x0000_Ā_x0000_"/>
      <sheetName val="Соответствие_ст┃ວࠁ堂耞鯝_x001b__x0000_㐀滳저漿"/>
      <sheetName val="Соответствие_ст䠀ᖚ┃馧_x0000_縂耖纀_x0016__x0000_䠀啬"/>
      <sheetName val="Соответствие_стꀀ㱭_xd814_ᩱ_x0014__x0000_⠀鑰밃钼؃_x0000_"/>
      <sheetName val="Соответствие_ст뀀䔂歟⋸⠡놹1_x0000_뀀᭩"/>
      <sheetName val="Соответствие_ст_x0000__x0000_Ԁ_x0000_ 狢봟_x0002__x0000__x0000_Ā_x0000_"/>
      <sheetName val="Соответствие_ст_x0000__x0000_Ԁ_x0000_倀篱봟_x0002__x0000__x0000_Ā_x0000_"/>
      <sheetName val="Соответствие_ст_x0000__x0000_Ԁ_x0000_ꀀ᛬纳_x0001__x0000__x0000_Ā_x0000_"/>
      <sheetName val="Соответствие_ст_x0000__x0000_Ԁ_x0000_ꀀ䊵迹_x0001__x0000__x0000_Ā_x0000_"/>
      <sheetName val="Соответствие_ст_x0000__x0000_Ԁ_x0000_辭绉_x0001__x0000__x0000_Ā_x0000_"/>
      <sheetName val="Соответствие_ст_x0000__x0000_Ԁ_x0000_瀀Ἆ继_x0001__x0000__x0000_Ā_x0000_"/>
      <sheetName val="Соответствие_ст_x0000__x0000_Ԁ_x0000_怀秙ﲁ_x0001__x0000__x0000_Ā_x0000_"/>
      <sheetName val="Соответствие_ст_x0000__x0000_Ԁ_x0000_᏿ﲈ_x0001__x0000__x0000_Ā_x0000_"/>
      <sheetName val="Соответствие_ст_x0000__x0000_Ԁ_x0000__x0000_꽟ﲁ_x0001__x0000__x0000_Ā_x0000_"/>
      <sheetName val="Соответствие_ст_x0000__x0000_Ԁ_x0000__x0000_傢翵_x0002__x0000__x0000_Ā_x0000_"/>
      <sheetName val="Соответствие_ст_x0000__x0000_Ԁ_x0000_ꀀ㎴ⓛ_x0002__x0000__x0000_Ā_x0000_"/>
      <sheetName val="Соответствие_ст_x0000__x0000_Ԁ_x0000_笲⓭_x0002__x0000__x0000_Ā_x0000_"/>
      <sheetName val="Соответствие_ст_x0000__x0000_Ԁ_x0000_怀ᄾⓧ_x0002__x0000__x0000_Ā_x0000_"/>
      <sheetName val="Соответствие_ст_x0000__x0000_Ԁ_x0000_⓰_x0002__x0000__x0000_Ā_x0000_"/>
      <sheetName val="Соответствие_ст_x0000__x0000_Ԁ_x0000_　簢⓭_x0002__x0000__x0000_Ā_x0000_"/>
      <sheetName val="Библиотека"/>
      <sheetName val="Затраты на оплату труда"/>
      <sheetName val="Свод-ведомость"/>
      <sheetName val="Соответствие_ст"/>
      <sheetName val="Соответствие_ст┃ວࠁ堂耞鯝_x001b_"/>
      <sheetName val="Соответствие_стꀀ㱭?_x0014_"/>
      <sheetName val="Соответствие_ст䠀ᖚ┃馧"/>
      <sheetName val="Соответствие_ст뀀䔂歟⋸⠡놹1"/>
      <sheetName val="база"/>
      <sheetName val="Соответствие_ст_x0000__x0000_Ԁ_x0000_怀⎧芍_x0001__x0000__x0000_Ā_x0000_"/>
      <sheetName val="Соответствие_ст_x0000__x0000_Ԁ_x0000__x0000_椕齨_x0001__x0000__x0000_Ā_x0000_"/>
      <sheetName val="Соответствие_ст_x0000__x0000_Ԁ_x0000_裗뾻_x0001__x0000__x0000_Ā_x0000_"/>
      <sheetName val="Соответствие_ст_x0000__x0000_Ԁ_x0000_倀剄뾱_x0001__x0000__x0000_Ā_x0000_"/>
      <sheetName val="Соответствие_ст_x0000__x0000_Ԁ_x0000_艥齤_x0001__x0000__x0000_Ā_x0000_"/>
      <sheetName val="Соответствие_ст_x0000__x0000_Ԁ_x0000_뀀텲齵_x0001__x0000__x0000_Ā_x0000_"/>
      <sheetName val="Соответствие_ст_x0000__x0000_Ԁ_x0000_　㣸齨_x0001__x0000__x0000_Ā_x0000_"/>
      <sheetName val="Соответствие_ст_x0000__x0000_Ԁ_x0000_퀀曫齵_x0001__x0000__x0000_Ā_x0000_"/>
      <sheetName val="Соответствие_ст_x0000__x0000_Ԁ_x0000_耀좟૪_x0001__x0000__x0000_Ā_x0000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26">
          <cell r="B26">
            <v>605</v>
          </cell>
          <cell r="C26" t="str">
            <v>КОМЕТ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 t="e">
            <v>#REF!</v>
          </cell>
          <cell r="S26">
            <v>0</v>
          </cell>
          <cell r="T26">
            <v>0</v>
          </cell>
          <cell r="U26">
            <v>0</v>
          </cell>
        </row>
        <row r="27">
          <cell r="B27">
            <v>608</v>
          </cell>
          <cell r="C27" t="str">
            <v>МТУ (Совинтел)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 t="e">
            <v>#REF!</v>
          </cell>
          <cell r="S27">
            <v>0</v>
          </cell>
          <cell r="T27">
            <v>0</v>
          </cell>
          <cell r="U27">
            <v>0</v>
          </cell>
        </row>
        <row r="28">
          <cell r="B28">
            <v>611</v>
          </cell>
          <cell r="C28" t="str">
            <v>ТЕЛМОС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 t="e">
            <v>#REF!</v>
          </cell>
          <cell r="S28">
            <v>0</v>
          </cell>
          <cell r="T28">
            <v>0</v>
          </cell>
          <cell r="U28">
            <v>0</v>
          </cell>
        </row>
        <row r="29">
          <cell r="B29">
            <v>614</v>
          </cell>
          <cell r="C29" t="str">
            <v>РусСДО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 t="e">
            <v>#REF!</v>
          </cell>
          <cell r="S29">
            <v>0</v>
          </cell>
          <cell r="T29">
            <v>0</v>
          </cell>
          <cell r="U29">
            <v>0</v>
          </cell>
        </row>
        <row r="35">
          <cell r="A35">
            <v>10</v>
          </cell>
          <cell r="B35">
            <v>621</v>
          </cell>
          <cell r="C35" t="str">
            <v>МТУ (Совинтел, аб. плата за городские номера)</v>
          </cell>
          <cell r="D35">
            <v>86</v>
          </cell>
          <cell r="E35">
            <v>86</v>
          </cell>
          <cell r="F35">
            <v>0</v>
          </cell>
          <cell r="G35">
            <v>48</v>
          </cell>
          <cell r="H35">
            <v>48</v>
          </cell>
          <cell r="I35">
            <v>48</v>
          </cell>
          <cell r="J35">
            <v>48</v>
          </cell>
          <cell r="K35">
            <v>48</v>
          </cell>
          <cell r="L35">
            <v>48</v>
          </cell>
          <cell r="M35">
            <v>48</v>
          </cell>
          <cell r="N35">
            <v>48</v>
          </cell>
          <cell r="O35">
            <v>48</v>
          </cell>
          <cell r="P35">
            <v>48</v>
          </cell>
          <cell r="Q35">
            <v>48</v>
          </cell>
          <cell r="R35" t="e">
            <v>#REF!</v>
          </cell>
          <cell r="S35">
            <v>144</v>
          </cell>
          <cell r="T35">
            <v>57.599999999999994</v>
          </cell>
          <cell r="U35">
            <v>-28.400000000000006</v>
          </cell>
        </row>
        <row r="36">
          <cell r="B36">
            <v>624</v>
          </cell>
        </row>
        <row r="52">
          <cell r="B52">
            <v>641</v>
          </cell>
        </row>
        <row r="56">
          <cell r="B56">
            <v>655</v>
          </cell>
          <cell r="C56" t="str">
            <v>Экcплуатационный взнос  по БС</v>
          </cell>
          <cell r="D56">
            <v>0</v>
          </cell>
          <cell r="E56">
            <v>0</v>
          </cell>
          <cell r="F56">
            <v>0</v>
          </cell>
          <cell r="G56">
            <v>25</v>
          </cell>
          <cell r="H56">
            <v>25</v>
          </cell>
          <cell r="I56">
            <v>25</v>
          </cell>
          <cell r="J56">
            <v>25</v>
          </cell>
          <cell r="K56">
            <v>25</v>
          </cell>
          <cell r="L56">
            <v>25</v>
          </cell>
          <cell r="M56">
            <v>25</v>
          </cell>
          <cell r="N56">
            <v>25</v>
          </cell>
          <cell r="O56">
            <v>25</v>
          </cell>
          <cell r="P56">
            <v>25</v>
          </cell>
          <cell r="Q56">
            <v>25</v>
          </cell>
          <cell r="R56" t="e">
            <v>#REF!</v>
          </cell>
          <cell r="S56">
            <v>75</v>
          </cell>
          <cell r="T56">
            <v>30</v>
          </cell>
          <cell r="U56">
            <v>30</v>
          </cell>
        </row>
        <row r="57">
          <cell r="B57">
            <v>656</v>
          </cell>
          <cell r="C57" t="str">
            <v>Согласование частот БС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 t="e">
            <v>#REF!</v>
          </cell>
          <cell r="S57">
            <v>0</v>
          </cell>
          <cell r="T57">
            <v>0</v>
          </cell>
          <cell r="U57">
            <v>0</v>
          </cell>
        </row>
        <row r="58">
          <cell r="B58">
            <v>657</v>
          </cell>
          <cell r="C58" t="str">
            <v>Экcплуатационный взнос  по РРЛ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 t="e">
            <v>#REF!</v>
          </cell>
          <cell r="S58">
            <v>0</v>
          </cell>
          <cell r="T58">
            <v>0</v>
          </cell>
          <cell r="U58">
            <v>0</v>
          </cell>
        </row>
        <row r="59">
          <cell r="B59">
            <v>658</v>
          </cell>
          <cell r="C59" t="str">
            <v>Согласование частот РРЛ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 t="e">
            <v>#REF!</v>
          </cell>
          <cell r="S59">
            <v>0</v>
          </cell>
          <cell r="T59">
            <v>0</v>
          </cell>
          <cell r="U59">
            <v>0</v>
          </cell>
        </row>
        <row r="60">
          <cell r="B60">
            <v>659</v>
          </cell>
          <cell r="C60" t="str">
            <v>Экспертиза сети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 t="e">
            <v>#REF!</v>
          </cell>
          <cell r="S60">
            <v>0</v>
          </cell>
          <cell r="T60">
            <v>0</v>
          </cell>
          <cell r="U60">
            <v>0</v>
          </cell>
        </row>
        <row r="93">
          <cell r="B93">
            <v>725</v>
          </cell>
          <cell r="C93" t="str">
            <v>Затраты на подключение новых телефонов</v>
          </cell>
          <cell r="D93">
            <v>0</v>
          </cell>
          <cell r="E93">
            <v>0</v>
          </cell>
          <cell r="F93">
            <v>0</v>
          </cell>
          <cell r="G93">
            <v>48.602942726727086</v>
          </cell>
          <cell r="H93">
            <v>93.064068026315795</v>
          </cell>
          <cell r="I93">
            <v>158.00013201809213</v>
          </cell>
          <cell r="J93">
            <v>147.96314222405803</v>
          </cell>
          <cell r="K93">
            <v>172.08796734449763</v>
          </cell>
          <cell r="L93">
            <v>38.185071850146208</v>
          </cell>
          <cell r="M93">
            <v>71.900737733604331</v>
          </cell>
          <cell r="N93">
            <v>87.036324519804239</v>
          </cell>
          <cell r="O93">
            <v>100.90920448517112</v>
          </cell>
          <cell r="P93">
            <v>71.673178851704719</v>
          </cell>
          <cell r="Q93">
            <v>72.064628625637269</v>
          </cell>
          <cell r="R93" t="e">
            <v>#REF!</v>
          </cell>
          <cell r="S93">
            <v>299.66714277113499</v>
          </cell>
          <cell r="T93">
            <v>58.323531272072501</v>
          </cell>
          <cell r="U93">
            <v>58.323531272072501</v>
          </cell>
        </row>
        <row r="94">
          <cell r="B94">
            <v>758</v>
          </cell>
          <cell r="C94" t="str">
            <v>Затраты на замену телефонов</v>
          </cell>
          <cell r="D94">
            <v>0</v>
          </cell>
          <cell r="E94">
            <v>0</v>
          </cell>
          <cell r="F94">
            <v>0</v>
          </cell>
          <cell r="G94">
            <v>197.17336200264683</v>
          </cell>
          <cell r="H94">
            <v>196.57862580238211</v>
          </cell>
          <cell r="I94">
            <v>195.67491465993842</v>
          </cell>
          <cell r="J94">
            <v>138.89888593471073</v>
          </cell>
          <cell r="K94">
            <v>137.95848311390219</v>
          </cell>
          <cell r="L94">
            <v>136.95532856043602</v>
          </cell>
          <cell r="M94">
            <v>135.20334025374535</v>
          </cell>
          <cell r="N94">
            <v>134.11044726050494</v>
          </cell>
          <cell r="O94">
            <v>132.9754130631072</v>
          </cell>
          <cell r="P94">
            <v>131.80355801883999</v>
          </cell>
          <cell r="Q94">
            <v>130.59956404211681</v>
          </cell>
          <cell r="R94" t="e">
            <v>#REF!</v>
          </cell>
          <cell r="S94">
            <v>589.42690246496738</v>
          </cell>
          <cell r="T94">
            <v>236.60803440317619</v>
          </cell>
          <cell r="U94">
            <v>236.60803440317619</v>
          </cell>
        </row>
        <row r="95">
          <cell r="B95" t="str">
            <v>790-1</v>
          </cell>
          <cell r="C95" t="str">
            <v>Релизация аппаратов МСС дилерами</v>
          </cell>
          <cell r="D95">
            <v>0</v>
          </cell>
          <cell r="E95">
            <v>0</v>
          </cell>
          <cell r="F95">
            <v>0</v>
          </cell>
          <cell r="G95">
            <v>22.277898572368422</v>
          </cell>
          <cell r="H95">
            <v>30.763187067434213</v>
          </cell>
          <cell r="I95">
            <v>47.774437145050832</v>
          </cell>
          <cell r="J95">
            <v>45.584639878812368</v>
          </cell>
          <cell r="K95">
            <v>36.187204750011468</v>
          </cell>
          <cell r="L95">
            <v>19.439414390879939</v>
          </cell>
          <cell r="M95">
            <v>23.23542043204154</v>
          </cell>
          <cell r="N95">
            <v>27.138487089640559</v>
          </cell>
          <cell r="O95">
            <v>30.121023356707397</v>
          </cell>
          <cell r="P95">
            <v>23.268409356865934</v>
          </cell>
          <cell r="Q95">
            <v>23.612749472757724</v>
          </cell>
          <cell r="R95" t="e">
            <v>#REF!</v>
          </cell>
          <cell r="S95">
            <v>100.81552278485347</v>
          </cell>
          <cell r="T95">
            <v>26.733478286842104</v>
          </cell>
          <cell r="U95">
            <v>26.733478286842104</v>
          </cell>
        </row>
        <row r="106">
          <cell r="B106">
            <v>904</v>
          </cell>
          <cell r="C106" t="str">
            <v xml:space="preserve">Реклама (пресса, радио, TV, наружняя) 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 t="e">
            <v>#REF!</v>
          </cell>
          <cell r="S106">
            <v>0</v>
          </cell>
          <cell r="T106">
            <v>0</v>
          </cell>
          <cell r="U106">
            <v>0</v>
          </cell>
        </row>
        <row r="107">
          <cell r="B107">
            <v>905</v>
          </cell>
          <cell r="C107" t="str">
            <v>Производство рекламных материалов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 t="e">
            <v>#REF!</v>
          </cell>
          <cell r="S107">
            <v>0</v>
          </cell>
          <cell r="T107">
            <v>0</v>
          </cell>
          <cell r="U107">
            <v>0</v>
          </cell>
        </row>
        <row r="108">
          <cell r="B108">
            <v>906</v>
          </cell>
          <cell r="C108" t="str">
            <v xml:space="preserve">Услуги рекламных агентств 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 t="e">
            <v>#REF!</v>
          </cell>
          <cell r="S108">
            <v>0</v>
          </cell>
          <cell r="T108">
            <v>0</v>
          </cell>
          <cell r="U108">
            <v>0</v>
          </cell>
        </row>
        <row r="109">
          <cell r="B109">
            <v>907</v>
          </cell>
          <cell r="C109" t="str">
            <v>Исследования рынка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 t="e">
            <v>#REF!</v>
          </cell>
          <cell r="S109">
            <v>0</v>
          </cell>
          <cell r="T109">
            <v>0</v>
          </cell>
          <cell r="U109">
            <v>0</v>
          </cell>
        </row>
        <row r="110">
          <cell r="B110">
            <v>908</v>
          </cell>
          <cell r="C110" t="str">
            <v>PR / Спонсорская поддежка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 t="e">
            <v>#REF!</v>
          </cell>
          <cell r="S110">
            <v>0</v>
          </cell>
          <cell r="T110">
            <v>0</v>
          </cell>
          <cell r="U110">
            <v>0</v>
          </cell>
        </row>
        <row r="111">
          <cell r="B111">
            <v>909</v>
          </cell>
          <cell r="C111" t="str">
            <v>Выставки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 t="e">
            <v>#REF!</v>
          </cell>
          <cell r="S111">
            <v>0</v>
          </cell>
          <cell r="T111">
            <v>0</v>
          </cell>
          <cell r="U111">
            <v>0</v>
          </cell>
        </row>
        <row r="112">
          <cell r="B112">
            <v>910</v>
          </cell>
          <cell r="C112" t="str">
            <v>Бесплатная телефонная связь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 t="e">
            <v>#REF!</v>
          </cell>
          <cell r="S112">
            <v>0</v>
          </cell>
          <cell r="T112">
            <v>0</v>
          </cell>
          <cell r="U112">
            <v>0</v>
          </cell>
        </row>
        <row r="113">
          <cell r="B113">
            <v>911</v>
          </cell>
          <cell r="C113" t="str">
            <v>Сувенирная продукция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 t="e">
            <v>#REF!</v>
          </cell>
          <cell r="S113">
            <v>0</v>
          </cell>
          <cell r="T113">
            <v>0</v>
          </cell>
          <cell r="U113">
            <v>0</v>
          </cell>
        </row>
        <row r="114">
          <cell r="B114">
            <v>912</v>
          </cell>
          <cell r="C114" t="str">
            <v>Налог на рекламу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5.5937279555606452</v>
          </cell>
          <cell r="I114">
            <v>8.3905919333409678</v>
          </cell>
          <cell r="J114">
            <v>11.18745591112129</v>
          </cell>
          <cell r="K114">
            <v>5.5937279555606452</v>
          </cell>
          <cell r="L114">
            <v>4.1952959666704839</v>
          </cell>
          <cell r="M114">
            <v>5.5937279555606452</v>
          </cell>
          <cell r="N114">
            <v>5.5937279555606452</v>
          </cell>
          <cell r="O114">
            <v>8.3905919333409678</v>
          </cell>
          <cell r="P114">
            <v>8.3905919333409678</v>
          </cell>
          <cell r="Q114">
            <v>6.9921599444508074</v>
          </cell>
          <cell r="R114" t="e">
            <v>#REF!</v>
          </cell>
          <cell r="S114">
            <v>0</v>
          </cell>
          <cell r="T114">
            <v>0</v>
          </cell>
          <cell r="U114">
            <v>0</v>
          </cell>
        </row>
        <row r="119">
          <cell r="B119">
            <v>920</v>
          </cell>
          <cell r="C119" t="str">
            <v>Расходы на субсидирование продаж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39.560563127690102</v>
          </cell>
          <cell r="I119">
            <v>144.43253091045335</v>
          </cell>
          <cell r="J119">
            <v>139.64849809048178</v>
          </cell>
          <cell r="K119">
            <v>37.842840973401245</v>
          </cell>
          <cell r="L119">
            <v>54</v>
          </cell>
          <cell r="M119">
            <v>90.765050167224075</v>
          </cell>
          <cell r="N119">
            <v>165.93684210526314</v>
          </cell>
          <cell r="O119">
            <v>207.82851769131307</v>
          </cell>
          <cell r="P119">
            <v>220.58918918918917</v>
          </cell>
          <cell r="Q119">
            <v>265.5891891891892</v>
          </cell>
          <cell r="R119" t="e">
            <v>#REF!</v>
          </cell>
          <cell r="S119">
            <v>0</v>
          </cell>
          <cell r="T119">
            <v>0</v>
          </cell>
          <cell r="U119">
            <v>0</v>
          </cell>
        </row>
        <row r="120">
          <cell r="B120">
            <v>929</v>
          </cell>
          <cell r="C120" t="str">
            <v xml:space="preserve">Расходы на субсидирование замен 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70</v>
          </cell>
          <cell r="I120">
            <v>70</v>
          </cell>
          <cell r="J120">
            <v>50</v>
          </cell>
          <cell r="K120">
            <v>50</v>
          </cell>
          <cell r="L120">
            <v>50</v>
          </cell>
          <cell r="M120">
            <v>50</v>
          </cell>
          <cell r="N120">
            <v>50</v>
          </cell>
          <cell r="O120">
            <v>50</v>
          </cell>
          <cell r="P120">
            <v>50</v>
          </cell>
          <cell r="Q120">
            <v>50</v>
          </cell>
          <cell r="R120" t="e">
            <v>#REF!</v>
          </cell>
          <cell r="S120">
            <v>0</v>
          </cell>
          <cell r="T120">
            <v>0</v>
          </cell>
          <cell r="U120">
            <v>0</v>
          </cell>
        </row>
        <row r="123">
          <cell r="B123">
            <v>934</v>
          </cell>
          <cell r="C123" t="str">
            <v xml:space="preserve">Комиссионные за новые продажи </v>
          </cell>
          <cell r="D123">
            <v>0</v>
          </cell>
          <cell r="E123">
            <v>0</v>
          </cell>
          <cell r="F123">
            <v>0</v>
          </cell>
          <cell r="G123">
            <v>10.313154875426944</v>
          </cell>
          <cell r="H123">
            <v>14.000186751217987</v>
          </cell>
          <cell r="I123">
            <v>21.532266154619691</v>
          </cell>
          <cell r="J123">
            <v>20.204934679334915</v>
          </cell>
          <cell r="K123">
            <v>15.780496428385662</v>
          </cell>
          <cell r="L123">
            <v>8.3432264160757317</v>
          </cell>
          <cell r="M123">
            <v>9.8180391663921469</v>
          </cell>
          <cell r="N123">
            <v>11.292851916708566</v>
          </cell>
          <cell r="O123">
            <v>12.346289595506004</v>
          </cell>
          <cell r="P123">
            <v>9.3966640948731719</v>
          </cell>
          <cell r="Q123">
            <v>22.880337349397593</v>
          </cell>
          <cell r="R123" t="e">
            <v>#REF!</v>
          </cell>
          <cell r="S123">
            <v>45.845607781264619</v>
          </cell>
          <cell r="T123">
            <v>12.375785850512333</v>
          </cell>
          <cell r="U123">
            <v>12.375785850512333</v>
          </cell>
        </row>
        <row r="124">
          <cell r="B124">
            <v>937</v>
          </cell>
          <cell r="C124" t="str">
            <v>10% от доходов абонентов (компания 99 г.)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 t="e">
            <v>#REF!</v>
          </cell>
          <cell r="S124">
            <v>0</v>
          </cell>
          <cell r="T124">
            <v>0</v>
          </cell>
          <cell r="U124">
            <v>0</v>
          </cell>
        </row>
        <row r="189">
          <cell r="B189">
            <v>1114</v>
          </cell>
          <cell r="C189" t="str">
            <v xml:space="preserve">Налог на соц-жил. фонд 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 t="e">
            <v>#REF!</v>
          </cell>
          <cell r="S189">
            <v>0</v>
          </cell>
          <cell r="T189">
            <v>0</v>
          </cell>
          <cell r="U189">
            <v>0</v>
          </cell>
        </row>
        <row r="254">
          <cell r="T254">
            <v>0</v>
          </cell>
          <cell r="U254">
            <v>0</v>
          </cell>
        </row>
        <row r="258">
          <cell r="B258">
            <v>618</v>
          </cell>
          <cell r="C258" t="str">
            <v>Subscription Direct Costs</v>
          </cell>
          <cell r="D258">
            <v>24</v>
          </cell>
          <cell r="E258">
            <v>24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-24</v>
          </cell>
        </row>
        <row r="259">
          <cell r="B259">
            <v>619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</row>
        <row r="260">
          <cell r="B260">
            <v>620</v>
          </cell>
          <cell r="C260" t="str">
            <v xml:space="preserve">Плата ВТК за аренду городских номеров 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</row>
        <row r="261">
          <cell r="B261">
            <v>621</v>
          </cell>
          <cell r="C261" t="str">
            <v>МТУ (Совинтел)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</row>
        <row r="262">
          <cell r="B262">
            <v>624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</row>
        <row r="263">
          <cell r="B263">
            <v>625</v>
          </cell>
          <cell r="C263" t="str">
            <v>Плата ВТК за аренду цифровых потоков для городских номеров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</row>
        <row r="264">
          <cell r="B264">
            <v>626</v>
          </cell>
          <cell r="C264" t="str">
            <v>КОМЕТ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</row>
        <row r="265">
          <cell r="B265">
            <v>627</v>
          </cell>
          <cell r="C265" t="str">
            <v>РусСДО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</row>
        <row r="266">
          <cell r="B266">
            <v>628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</row>
        <row r="267">
          <cell r="B267">
            <v>629</v>
          </cell>
          <cell r="C267" t="str">
            <v xml:space="preserve">SIS, Аренда каналов, бланки для счетов </v>
          </cell>
          <cell r="D267">
            <v>24</v>
          </cell>
          <cell r="E267">
            <v>24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-24</v>
          </cell>
        </row>
        <row r="270">
          <cell r="A270" t="str">
            <v>7d</v>
          </cell>
          <cell r="B270">
            <v>632</v>
          </cell>
          <cell r="C270" t="str">
            <v>Лицензия SIS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 t="e">
            <v>#REF!</v>
          </cell>
          <cell r="S270">
            <v>0</v>
          </cell>
          <cell r="T270">
            <v>0</v>
          </cell>
          <cell r="U270">
            <v>0</v>
          </cell>
        </row>
        <row r="271">
          <cell r="A271" t="str">
            <v>7d</v>
          </cell>
          <cell r="B271">
            <v>633</v>
          </cell>
          <cell r="C271" t="str">
            <v>Поддержка VAX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</row>
        <row r="273">
          <cell r="B273">
            <v>635</v>
          </cell>
          <cell r="C273" t="str">
            <v xml:space="preserve">Аренда каналов </v>
          </cell>
          <cell r="D273">
            <v>24</v>
          </cell>
          <cell r="E273">
            <v>24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-24</v>
          </cell>
        </row>
        <row r="274">
          <cell r="B274">
            <v>636</v>
          </cell>
          <cell r="C274" t="str">
            <v>ММТС-5 и ММТС-9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</row>
        <row r="275">
          <cell r="B275">
            <v>636</v>
          </cell>
          <cell r="C275" t="str">
            <v xml:space="preserve">ММТС-5  и ММТС-9 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</row>
        <row r="276">
          <cell r="B276">
            <v>637</v>
          </cell>
          <cell r="C276" t="str">
            <v>ММТС-10 (Ростелеком)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</row>
        <row r="277">
          <cell r="A277" t="str">
            <v>6d</v>
          </cell>
          <cell r="B277">
            <v>638</v>
          </cell>
          <cell r="C277" t="str">
            <v>Global one, LMT, Telia</v>
          </cell>
          <cell r="D277">
            <v>24</v>
          </cell>
          <cell r="E277">
            <v>24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-24</v>
          </cell>
        </row>
        <row r="278">
          <cell r="B278">
            <v>639</v>
          </cell>
          <cell r="C278" t="str">
            <v>Макомнет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</row>
        <row r="279">
          <cell r="B279">
            <v>641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</row>
        <row r="280">
          <cell r="B280">
            <v>642</v>
          </cell>
          <cell r="C280" t="str">
            <v>Бланки для счетов, полиграфия, клиентские конверты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</row>
        <row r="281">
          <cell r="B281">
            <v>647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</row>
        <row r="282">
          <cell r="B282">
            <v>648</v>
          </cell>
          <cell r="C282" t="str">
            <v>Выплаты Госсвязьнадзору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</row>
        <row r="283">
          <cell r="B283">
            <v>660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</row>
        <row r="284">
          <cell r="B284">
            <v>661</v>
          </cell>
          <cell r="C284" t="str">
            <v>Выплаты МТТ (на абонента)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</row>
        <row r="285">
          <cell r="B285">
            <v>664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</row>
        <row r="286">
          <cell r="B286">
            <v>665</v>
          </cell>
          <cell r="C286" t="str">
            <v>Биллинг роуминга (СМТ) и Таксофоны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</row>
        <row r="287">
          <cell r="B287" t="str">
            <v>*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</row>
        <row r="288">
          <cell r="B288">
            <v>669</v>
          </cell>
          <cell r="C288" t="str">
            <v xml:space="preserve">Airtime Direct Costs 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</row>
        <row r="289">
          <cell r="B289">
            <v>671</v>
          </cell>
          <cell r="C289" t="str">
            <v>Плата ВТК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</row>
        <row r="290">
          <cell r="B290">
            <v>672</v>
          </cell>
          <cell r="C290" t="str">
            <v>Плата ВТК за звонки абонентов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</row>
        <row r="291">
          <cell r="B291">
            <v>673</v>
          </cell>
          <cell r="C291" t="str">
            <v>Плата ВТК за звонки роумеров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</row>
        <row r="292">
          <cell r="B292">
            <v>674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</row>
        <row r="293">
          <cell r="B293">
            <v>675</v>
          </cell>
          <cell r="C293" t="str">
            <v>Плата ВТК за эфирное время по городским номерам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</row>
        <row r="294">
          <cell r="B294">
            <v>676</v>
          </cell>
          <cell r="C294" t="str">
            <v>КОМЕТ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</row>
        <row r="295">
          <cell r="B295">
            <v>682</v>
          </cell>
          <cell r="C295" t="str">
            <v>МТУ (Совинтел)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</row>
        <row r="296">
          <cell r="B296">
            <v>688</v>
          </cell>
          <cell r="C296" t="str">
            <v>ТЕЛМОС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</row>
        <row r="297">
          <cell r="B297">
            <v>694</v>
          </cell>
          <cell r="C297" t="str">
            <v>РусСДО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</row>
        <row r="298">
          <cell r="B298">
            <v>700</v>
          </cell>
          <cell r="C298" t="str">
            <v>Реут (СГХП)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</row>
        <row r="299">
          <cell r="B299">
            <v>701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</row>
        <row r="300">
          <cell r="B300">
            <v>702</v>
          </cell>
          <cell r="C300" t="str">
            <v>Плата ВТК за включенный трафик по городским ном.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</row>
        <row r="301">
          <cell r="B301">
            <v>703</v>
          </cell>
          <cell r="C301" t="str">
            <v>ТЕЛМОС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</row>
        <row r="302">
          <cell r="B302">
            <v>706</v>
          </cell>
          <cell r="C302" t="str">
            <v>РусСДО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</row>
        <row r="303">
          <cell r="B303">
            <v>709</v>
          </cell>
          <cell r="C303" t="str">
            <v>Реут (СГХП)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</row>
        <row r="304">
          <cell r="B304">
            <v>710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</row>
        <row r="305">
          <cell r="B305">
            <v>711</v>
          </cell>
          <cell r="C305" t="str">
            <v xml:space="preserve">Оплата услуг справочных служб 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</row>
        <row r="306">
          <cell r="B306">
            <v>714</v>
          </cell>
          <cell r="C306" t="str">
            <v xml:space="preserve">Прочие прямые затраты на эфирное время 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</row>
        <row r="307">
          <cell r="B307">
            <v>715</v>
          </cell>
          <cell r="C307" t="str">
            <v>Почтовые расходы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</row>
        <row r="308">
          <cell r="B308">
            <v>718</v>
          </cell>
          <cell r="C308" t="str">
            <v>Кредитовые корректировки по обслуживанию (закрытие контрактов)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</row>
        <row r="309">
          <cell r="B309" t="str">
            <v>*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</row>
        <row r="310">
          <cell r="A310" t="str">
            <v>12d</v>
          </cell>
          <cell r="B310">
            <v>0</v>
          </cell>
          <cell r="C310" t="str">
            <v>Other personnel costs (в т.ч. командировки)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</row>
        <row r="311">
          <cell r="A311" t="str">
            <v>16d</v>
          </cell>
          <cell r="B311">
            <v>1019</v>
          </cell>
          <cell r="C311" t="str">
            <v>Concultancy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</row>
        <row r="312">
          <cell r="A312" t="str">
            <v>16d</v>
          </cell>
          <cell r="B312">
            <v>0</v>
          </cell>
          <cell r="C312" t="str">
            <v>Other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</row>
        <row r="313">
          <cell r="B313" t="str">
            <v>*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</row>
        <row r="317">
          <cell r="B317">
            <v>1197</v>
          </cell>
          <cell r="C317" t="str">
            <v>Total Network Equipment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</row>
        <row r="318">
          <cell r="B318">
            <v>1205</v>
          </cell>
          <cell r="C318" t="str">
            <v>Maintenance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</row>
        <row r="322">
          <cell r="B322">
            <v>1212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</row>
        <row r="323">
          <cell r="A323" t="str">
            <v>15d</v>
          </cell>
          <cell r="B323">
            <v>1213</v>
          </cell>
          <cell r="C323" t="str">
            <v>Office Equipment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</row>
        <row r="324">
          <cell r="A324" t="str">
            <v>12d</v>
          </cell>
          <cell r="B324">
            <v>1222</v>
          </cell>
          <cell r="C324" t="str">
            <v xml:space="preserve">Vehicles 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</row>
        <row r="325">
          <cell r="A325" t="str">
            <v>16d</v>
          </cell>
          <cell r="B325">
            <v>1225</v>
          </cell>
          <cell r="C325" t="str">
            <v>Software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</row>
        <row r="326">
          <cell r="A326" t="str">
            <v>16d</v>
          </cell>
          <cell r="B326">
            <v>1228</v>
          </cell>
          <cell r="C326" t="str">
            <v xml:space="preserve">Lease &amp; Rent Subscriber Equipment 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</row>
        <row r="327">
          <cell r="A327" t="str">
            <v>15d</v>
          </cell>
          <cell r="B327">
            <v>1231</v>
          </cell>
          <cell r="C327" t="str">
            <v xml:space="preserve">Office Reconstruction 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</row>
        <row r="339">
          <cell r="A339" t="str">
            <v>4d</v>
          </cell>
          <cell r="B339">
            <v>1245</v>
          </cell>
          <cell r="C339" t="str">
            <v>New Projects (INTERNET)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 t="e">
            <v>#REF!</v>
          </cell>
          <cell r="S339">
            <v>0</v>
          </cell>
          <cell r="T339">
            <v>0</v>
          </cell>
          <cell r="U339">
            <v>0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>
        <row r="26">
          <cell r="C26" t="str">
            <v>Налог на прибыль</v>
          </cell>
        </row>
      </sheetData>
      <sheetData sheetId="132">
        <row r="26">
          <cell r="C26" t="str">
            <v>Налог на прибыль</v>
          </cell>
        </row>
      </sheetData>
      <sheetData sheetId="133">
        <row r="26">
          <cell r="C26" t="str">
            <v>Налог на прибыль</v>
          </cell>
        </row>
      </sheetData>
      <sheetData sheetId="134">
        <row r="26">
          <cell r="C26" t="str">
            <v>Налог на прибыль</v>
          </cell>
        </row>
      </sheetData>
      <sheetData sheetId="135">
        <row r="26">
          <cell r="C26" t="str">
            <v>Налог на прибыль</v>
          </cell>
        </row>
      </sheetData>
      <sheetData sheetId="136">
        <row r="26">
          <cell r="C26" t="str">
            <v>Налог на прибыль</v>
          </cell>
        </row>
      </sheetData>
      <sheetData sheetId="137">
        <row r="26">
          <cell r="C26" t="str">
            <v>Налог на прибыль</v>
          </cell>
        </row>
      </sheetData>
      <sheetData sheetId="138">
        <row r="26">
          <cell r="C26" t="str">
            <v>Налог на прибыль</v>
          </cell>
        </row>
      </sheetData>
      <sheetData sheetId="139">
        <row r="26">
          <cell r="C26" t="str">
            <v>Налог на прибыль</v>
          </cell>
        </row>
      </sheetData>
      <sheetData sheetId="140">
        <row r="26">
          <cell r="C26" t="str">
            <v>Налог на прибыль</v>
          </cell>
        </row>
      </sheetData>
      <sheetData sheetId="141">
        <row r="26">
          <cell r="C26" t="str">
            <v>Налог на прибыль</v>
          </cell>
        </row>
      </sheetData>
      <sheetData sheetId="142">
        <row r="26">
          <cell r="C26" t="str">
            <v>Налог на прибыль</v>
          </cell>
        </row>
      </sheetData>
      <sheetData sheetId="143">
        <row r="26">
          <cell r="C26" t="str">
            <v>Налог на прибыль</v>
          </cell>
        </row>
      </sheetData>
      <sheetData sheetId="144">
        <row r="26">
          <cell r="C26" t="str">
            <v>Налог на прибыль</v>
          </cell>
        </row>
      </sheetData>
      <sheetData sheetId="145">
        <row r="26">
          <cell r="C26" t="str">
            <v>Налог на прибыль</v>
          </cell>
        </row>
      </sheetData>
      <sheetData sheetId="146">
        <row r="26">
          <cell r="C26" t="str">
            <v>Налог на прибыль</v>
          </cell>
        </row>
      </sheetData>
      <sheetData sheetId="147">
        <row r="26">
          <cell r="C26" t="str">
            <v>Налог на прибыль</v>
          </cell>
        </row>
      </sheetData>
      <sheetData sheetId="148">
        <row r="26">
          <cell r="C26" t="str">
            <v>Налог на прибыль</v>
          </cell>
        </row>
      </sheetData>
      <sheetData sheetId="149">
        <row r="26">
          <cell r="C26" t="str">
            <v>Налог на прибыль</v>
          </cell>
        </row>
      </sheetData>
      <sheetData sheetId="150">
        <row r="26">
          <cell r="C26" t="str">
            <v>Налог на прибыль</v>
          </cell>
        </row>
      </sheetData>
      <sheetData sheetId="151">
        <row r="26">
          <cell r="C26" t="str">
            <v>Налог на прибыль</v>
          </cell>
        </row>
      </sheetData>
      <sheetData sheetId="152">
        <row r="26">
          <cell r="C26" t="str">
            <v>Налог на прибыль</v>
          </cell>
        </row>
      </sheetData>
      <sheetData sheetId="153">
        <row r="26">
          <cell r="C26" t="str">
            <v>Налог на прибыль</v>
          </cell>
        </row>
      </sheetData>
      <sheetData sheetId="154">
        <row r="26">
          <cell r="C26" t="str">
            <v>Налог на прибыль</v>
          </cell>
        </row>
      </sheetData>
      <sheetData sheetId="155">
        <row r="26">
          <cell r="C26" t="str">
            <v>Налог на прибыль</v>
          </cell>
        </row>
      </sheetData>
      <sheetData sheetId="156">
        <row r="26">
          <cell r="C26" t="str">
            <v>Налог на прибыль</v>
          </cell>
        </row>
      </sheetData>
      <sheetData sheetId="157">
        <row r="26">
          <cell r="C26" t="str">
            <v>Налог на прибыль</v>
          </cell>
        </row>
      </sheetData>
      <sheetData sheetId="158">
        <row r="26">
          <cell r="C26" t="str">
            <v>Налог на прибыль</v>
          </cell>
        </row>
      </sheetData>
      <sheetData sheetId="159">
        <row r="26">
          <cell r="C26" t="str">
            <v>Налог на прибыль</v>
          </cell>
        </row>
      </sheetData>
      <sheetData sheetId="160">
        <row r="26">
          <cell r="C26" t="str">
            <v>Налог на прибыль</v>
          </cell>
        </row>
      </sheetData>
      <sheetData sheetId="161">
        <row r="26">
          <cell r="C26" t="str">
            <v>Налог на прибыль</v>
          </cell>
        </row>
      </sheetData>
      <sheetData sheetId="162">
        <row r="26">
          <cell r="C26" t="str">
            <v>Налог на прибыль</v>
          </cell>
        </row>
      </sheetData>
      <sheetData sheetId="163">
        <row r="26">
          <cell r="C26" t="str">
            <v>Налог на прибыль</v>
          </cell>
        </row>
      </sheetData>
      <sheetData sheetId="164">
        <row r="26">
          <cell r="C26" t="str">
            <v>Налог на прибыль</v>
          </cell>
        </row>
      </sheetData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>
        <row r="26">
          <cell r="C26" t="str">
            <v>Налог на прибыль</v>
          </cell>
        </row>
      </sheetData>
      <sheetData sheetId="172">
        <row r="26">
          <cell r="C26" t="str">
            <v>Налог на прибыль</v>
          </cell>
        </row>
      </sheetData>
      <sheetData sheetId="173">
        <row r="26">
          <cell r="C26" t="str">
            <v>Налог на прибыль</v>
          </cell>
        </row>
      </sheetData>
      <sheetData sheetId="174">
        <row r="26">
          <cell r="C26" t="str">
            <v>Налог на прибыль</v>
          </cell>
        </row>
      </sheetData>
      <sheetData sheetId="175">
        <row r="26">
          <cell r="C26" t="str">
            <v>Налог на прибыль</v>
          </cell>
        </row>
      </sheetData>
      <sheetData sheetId="176" refreshError="1"/>
      <sheetData sheetId="177">
        <row r="26">
          <cell r="C26" t="str">
            <v>Налог на прибыль</v>
          </cell>
        </row>
      </sheetData>
      <sheetData sheetId="178">
        <row r="26">
          <cell r="C26" t="str">
            <v>Налог на прибыль</v>
          </cell>
        </row>
      </sheetData>
      <sheetData sheetId="179">
        <row r="26">
          <cell r="C26" t="str">
            <v>Налог на прибыль</v>
          </cell>
        </row>
      </sheetData>
      <sheetData sheetId="180">
        <row r="26">
          <cell r="C26" t="str">
            <v>Налог на прибыль</v>
          </cell>
        </row>
      </sheetData>
      <sheetData sheetId="181">
        <row r="26">
          <cell r="C26" t="str">
            <v>Налог на прибыль</v>
          </cell>
        </row>
      </sheetData>
      <sheetData sheetId="182">
        <row r="26">
          <cell r="C26" t="str">
            <v>Налог на прибыль</v>
          </cell>
        </row>
      </sheetData>
      <sheetData sheetId="183">
        <row r="26">
          <cell r="C26" t="str">
            <v>Налог на прибыль</v>
          </cell>
        </row>
      </sheetData>
      <sheetData sheetId="184">
        <row r="26">
          <cell r="C26" t="str">
            <v>Налог на прибыль</v>
          </cell>
        </row>
      </sheetData>
      <sheetData sheetId="185">
        <row r="26">
          <cell r="C26" t="str">
            <v>Налог на прибыль</v>
          </cell>
        </row>
      </sheetData>
      <sheetData sheetId="186">
        <row r="26">
          <cell r="C26" t="str">
            <v>Налог на прибыль</v>
          </cell>
        </row>
      </sheetData>
      <sheetData sheetId="187">
        <row r="26">
          <cell r="C26" t="str">
            <v>Налог на прибыль</v>
          </cell>
        </row>
      </sheetData>
      <sheetData sheetId="188">
        <row r="26">
          <cell r="C26" t="str">
            <v>Налог на прибыль</v>
          </cell>
        </row>
      </sheetData>
      <sheetData sheetId="189">
        <row r="26">
          <cell r="C26" t="str">
            <v>Налог на прибыль</v>
          </cell>
        </row>
      </sheetData>
      <sheetData sheetId="190">
        <row r="26">
          <cell r="C26" t="str">
            <v>Налог на прибыль</v>
          </cell>
        </row>
      </sheetData>
      <sheetData sheetId="191">
        <row r="26">
          <cell r="C26" t="str">
            <v>Налог на прибыль</v>
          </cell>
        </row>
      </sheetData>
      <sheetData sheetId="192">
        <row r="26">
          <cell r="C26" t="str">
            <v>Налог на прибыль</v>
          </cell>
        </row>
      </sheetData>
      <sheetData sheetId="193">
        <row r="26">
          <cell r="C26" t="str">
            <v>Налог на прибыль</v>
          </cell>
        </row>
      </sheetData>
      <sheetData sheetId="194">
        <row r="26">
          <cell r="C26" t="str">
            <v>Налог на прибыль</v>
          </cell>
        </row>
      </sheetData>
      <sheetData sheetId="195">
        <row r="26">
          <cell r="C26" t="str">
            <v>Налог на прибыль</v>
          </cell>
        </row>
      </sheetData>
      <sheetData sheetId="196">
        <row r="26">
          <cell r="C26" t="str">
            <v>Налог на прибыль</v>
          </cell>
        </row>
      </sheetData>
      <sheetData sheetId="197">
        <row r="26">
          <cell r="C26" t="str">
            <v>Налог на прибыль</v>
          </cell>
        </row>
      </sheetData>
      <sheetData sheetId="198">
        <row r="26">
          <cell r="C26" t="str">
            <v>Налог на прибыль</v>
          </cell>
        </row>
      </sheetData>
      <sheetData sheetId="199">
        <row r="26">
          <cell r="C26" t="str">
            <v>Налог на прибыль</v>
          </cell>
        </row>
      </sheetData>
      <sheetData sheetId="200">
        <row r="26">
          <cell r="C26" t="str">
            <v>Налог на прибыль</v>
          </cell>
        </row>
      </sheetData>
      <sheetData sheetId="201">
        <row r="26">
          <cell r="C26" t="str">
            <v>Налог на прибыль</v>
          </cell>
        </row>
      </sheetData>
      <sheetData sheetId="202">
        <row r="26">
          <cell r="C26" t="str">
            <v>Налог на прибыль</v>
          </cell>
        </row>
      </sheetData>
      <sheetData sheetId="203">
        <row r="26">
          <cell r="C26" t="str">
            <v>Налог на прибыль</v>
          </cell>
        </row>
      </sheetData>
      <sheetData sheetId="204">
        <row r="26">
          <cell r="C26" t="str">
            <v>Налог на прибыль</v>
          </cell>
        </row>
      </sheetData>
      <sheetData sheetId="205">
        <row r="26">
          <cell r="C26" t="str">
            <v>Налог на прибыль</v>
          </cell>
        </row>
      </sheetData>
      <sheetData sheetId="206">
        <row r="26">
          <cell r="C26" t="str">
            <v>Налог на прибыль</v>
          </cell>
        </row>
      </sheetData>
      <sheetData sheetId="207">
        <row r="26">
          <cell r="C26" t="str">
            <v>Налог на прибыль</v>
          </cell>
        </row>
      </sheetData>
      <sheetData sheetId="208">
        <row r="26">
          <cell r="C26" t="str">
            <v>Налог на прибыль</v>
          </cell>
        </row>
      </sheetData>
      <sheetData sheetId="209">
        <row r="26">
          <cell r="C26" t="str">
            <v>Налог на прибыль</v>
          </cell>
        </row>
      </sheetData>
      <sheetData sheetId="210">
        <row r="26">
          <cell r="C26" t="str">
            <v>Налог на прибыль</v>
          </cell>
        </row>
      </sheetData>
      <sheetData sheetId="211">
        <row r="26">
          <cell r="C26" t="str">
            <v>Налог на прибыль</v>
          </cell>
        </row>
      </sheetData>
      <sheetData sheetId="212">
        <row r="26">
          <cell r="C26" t="str">
            <v>Налог на прибыль</v>
          </cell>
        </row>
      </sheetData>
      <sheetData sheetId="213">
        <row r="26">
          <cell r="C26" t="str">
            <v>Налог на прибыль</v>
          </cell>
        </row>
      </sheetData>
      <sheetData sheetId="214">
        <row r="26">
          <cell r="C26" t="str">
            <v>Налог на прибыль</v>
          </cell>
        </row>
      </sheetData>
      <sheetData sheetId="215">
        <row r="26">
          <cell r="C26" t="str">
            <v>Налог на прибыль</v>
          </cell>
        </row>
      </sheetData>
      <sheetData sheetId="216">
        <row r="26">
          <cell r="C26" t="str">
            <v>Налог на прибыль</v>
          </cell>
        </row>
      </sheetData>
      <sheetData sheetId="217">
        <row r="26">
          <cell r="C26" t="str">
            <v>Налог на прибыль</v>
          </cell>
        </row>
      </sheetData>
      <sheetData sheetId="218">
        <row r="26">
          <cell r="C26" t="str">
            <v>Налог на прибыль</v>
          </cell>
        </row>
      </sheetData>
      <sheetData sheetId="219">
        <row r="26">
          <cell r="C26" t="str">
            <v>Налог на прибыль</v>
          </cell>
        </row>
      </sheetData>
      <sheetData sheetId="220">
        <row r="26">
          <cell r="C26" t="str">
            <v>Налог на прибыль</v>
          </cell>
        </row>
      </sheetData>
      <sheetData sheetId="221">
        <row r="26">
          <cell r="C26" t="str">
            <v>Налог на прибыль</v>
          </cell>
        </row>
      </sheetData>
      <sheetData sheetId="222">
        <row r="26">
          <cell r="C26" t="str">
            <v>Налог на прибыль</v>
          </cell>
        </row>
      </sheetData>
      <sheetData sheetId="223">
        <row r="26">
          <cell r="C26" t="str">
            <v>Налог на прибыль</v>
          </cell>
        </row>
      </sheetData>
      <sheetData sheetId="224">
        <row r="26">
          <cell r="C26" t="str">
            <v>Налог на прибыль</v>
          </cell>
        </row>
      </sheetData>
      <sheetData sheetId="225">
        <row r="26">
          <cell r="C26" t="str">
            <v>Налог на прибыль</v>
          </cell>
        </row>
      </sheetData>
      <sheetData sheetId="226">
        <row r="26">
          <cell r="C26" t="str">
            <v>Налог на прибыль</v>
          </cell>
        </row>
      </sheetData>
      <sheetData sheetId="227">
        <row r="26">
          <cell r="C26" t="str">
            <v>Налог на прибыль</v>
          </cell>
        </row>
      </sheetData>
      <sheetData sheetId="228">
        <row r="26">
          <cell r="C26" t="str">
            <v>Налог на прибыль</v>
          </cell>
        </row>
      </sheetData>
      <sheetData sheetId="229">
        <row r="26">
          <cell r="C26" t="str">
            <v>Налог на прибыль</v>
          </cell>
        </row>
      </sheetData>
      <sheetData sheetId="230">
        <row r="26">
          <cell r="C26" t="str">
            <v>Налог на прибыль</v>
          </cell>
        </row>
      </sheetData>
      <sheetData sheetId="231">
        <row r="26">
          <cell r="C26" t="str">
            <v>Налог на прибыль</v>
          </cell>
        </row>
      </sheetData>
      <sheetData sheetId="232">
        <row r="26">
          <cell r="C26" t="str">
            <v>Налог на прибыль</v>
          </cell>
        </row>
      </sheetData>
      <sheetData sheetId="233">
        <row r="26">
          <cell r="C26" t="str">
            <v>Налог на прибыль</v>
          </cell>
        </row>
      </sheetData>
      <sheetData sheetId="234">
        <row r="26">
          <cell r="C26" t="str">
            <v>Налог на прибыль</v>
          </cell>
        </row>
      </sheetData>
      <sheetData sheetId="235">
        <row r="26">
          <cell r="C26" t="str">
            <v>Налог на прибыль</v>
          </cell>
        </row>
      </sheetData>
      <sheetData sheetId="236">
        <row r="26">
          <cell r="C26" t="str">
            <v>Налог на прибыль</v>
          </cell>
        </row>
      </sheetData>
      <sheetData sheetId="237">
        <row r="26">
          <cell r="C26" t="str">
            <v>Налог на прибыль</v>
          </cell>
        </row>
      </sheetData>
      <sheetData sheetId="238">
        <row r="26">
          <cell r="C26" t="str">
            <v>Налог на прибыль</v>
          </cell>
        </row>
      </sheetData>
      <sheetData sheetId="239">
        <row r="26">
          <cell r="C26" t="str">
            <v>Налог на прибыль</v>
          </cell>
        </row>
      </sheetData>
      <sheetData sheetId="240">
        <row r="26">
          <cell r="C26" t="str">
            <v>Налог на прибыль</v>
          </cell>
        </row>
      </sheetData>
      <sheetData sheetId="241">
        <row r="26">
          <cell r="C26" t="str">
            <v>Налог на прибыль</v>
          </cell>
        </row>
      </sheetData>
      <sheetData sheetId="242">
        <row r="26">
          <cell r="C26" t="str">
            <v>Налог на прибыль</v>
          </cell>
        </row>
      </sheetData>
      <sheetData sheetId="243">
        <row r="26">
          <cell r="C26" t="str">
            <v>Налог на прибыль</v>
          </cell>
        </row>
      </sheetData>
      <sheetData sheetId="244">
        <row r="26">
          <cell r="C26" t="str">
            <v>Налог на прибыль</v>
          </cell>
        </row>
      </sheetData>
      <sheetData sheetId="245">
        <row r="26">
          <cell r="C26" t="str">
            <v>Налог на прибыль</v>
          </cell>
        </row>
      </sheetData>
      <sheetData sheetId="246">
        <row r="26">
          <cell r="C26" t="str">
            <v>Налог на прибыль</v>
          </cell>
        </row>
      </sheetData>
      <sheetData sheetId="247" refreshError="1"/>
      <sheetData sheetId="248">
        <row r="26">
          <cell r="C26" t="str">
            <v>Налог на прибыль</v>
          </cell>
        </row>
      </sheetData>
      <sheetData sheetId="249">
        <row r="26">
          <cell r="C26" t="str">
            <v>Налог на прибыль</v>
          </cell>
        </row>
      </sheetData>
      <sheetData sheetId="250">
        <row r="26">
          <cell r="C26" t="str">
            <v>Налог на прибыль</v>
          </cell>
        </row>
      </sheetData>
      <sheetData sheetId="251">
        <row r="26">
          <cell r="C26" t="str">
            <v>Налог на прибыль</v>
          </cell>
        </row>
      </sheetData>
      <sheetData sheetId="252">
        <row r="26">
          <cell r="C26" t="str">
            <v>Налог на прибыль</v>
          </cell>
        </row>
      </sheetData>
      <sheetData sheetId="253">
        <row r="26">
          <cell r="C26" t="str">
            <v>Налог на прибыль</v>
          </cell>
        </row>
      </sheetData>
      <sheetData sheetId="254">
        <row r="26">
          <cell r="C26" t="str">
            <v>Налог на прибыль</v>
          </cell>
        </row>
      </sheetData>
      <sheetData sheetId="255">
        <row r="26">
          <cell r="C26" t="str">
            <v>Налог на прибыль</v>
          </cell>
        </row>
      </sheetData>
      <sheetData sheetId="256">
        <row r="26">
          <cell r="C26" t="str">
            <v>Налог на прибыль</v>
          </cell>
        </row>
      </sheetData>
      <sheetData sheetId="257">
        <row r="26">
          <cell r="C26" t="str">
            <v>Налог на прибыль</v>
          </cell>
        </row>
      </sheetData>
      <sheetData sheetId="258">
        <row r="26">
          <cell r="C26" t="str">
            <v>Налог на прибыль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/>
      <sheetData sheetId="280"/>
      <sheetData sheetId="281"/>
      <sheetData sheetId="282"/>
      <sheetData sheetId="283"/>
      <sheetData sheetId="284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>
        <row r="26">
          <cell r="C26" t="str">
            <v>Налог на прибыль</v>
          </cell>
        </row>
      </sheetData>
      <sheetData sheetId="293">
        <row r="26">
          <cell r="C26" t="str">
            <v>Налог на прибыль</v>
          </cell>
        </row>
      </sheetData>
      <sheetData sheetId="294">
        <row r="26">
          <cell r="C26" t="str">
            <v>Налог на прибыль</v>
          </cell>
        </row>
      </sheetData>
      <sheetData sheetId="295" refreshError="1"/>
      <sheetData sheetId="296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/>
      <sheetData sheetId="338"/>
      <sheetData sheetId="339"/>
      <sheetData sheetId="340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 refreshError="1"/>
      <sheetData sheetId="364" refreshError="1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>
        <row r="26">
          <cell r="C26" t="str">
            <v>Налог на прибыль</v>
          </cell>
        </row>
      </sheetData>
      <sheetData sheetId="433">
        <row r="26">
          <cell r="C26" t="str">
            <v>Налог на прибыль</v>
          </cell>
        </row>
      </sheetData>
      <sheetData sheetId="434">
        <row r="26">
          <cell r="C26" t="str">
            <v>Налог на прибыль</v>
          </cell>
        </row>
      </sheetData>
      <sheetData sheetId="435">
        <row r="26">
          <cell r="C26" t="str">
            <v>Налог на прибыль</v>
          </cell>
        </row>
      </sheetData>
      <sheetData sheetId="436">
        <row r="26">
          <cell r="C26" t="str">
            <v>Налог на прибыль</v>
          </cell>
        </row>
      </sheetData>
      <sheetData sheetId="437"/>
      <sheetData sheetId="438"/>
      <sheetData sheetId="439"/>
      <sheetData sheetId="440"/>
      <sheetData sheetId="441"/>
      <sheetData sheetId="442">
        <row r="26">
          <cell r="C26" t="str">
            <v>Налог на прибыль</v>
          </cell>
        </row>
      </sheetData>
      <sheetData sheetId="443">
        <row r="26">
          <cell r="C26" t="str">
            <v>Налог на прибыль</v>
          </cell>
        </row>
      </sheetData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/>
      <sheetData sheetId="595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/>
      <sheetData sheetId="625"/>
      <sheetData sheetId="626"/>
      <sheetData sheetId="627"/>
      <sheetData sheetId="628" refreshError="1"/>
      <sheetData sheetId="629" refreshError="1"/>
      <sheetData sheetId="630" refreshError="1"/>
      <sheetData sheetId="631" refreshError="1"/>
      <sheetData sheetId="632"/>
      <sheetData sheetId="633"/>
      <sheetData sheetId="634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"/>
      <sheetName val="Chart Refining Mix RUS"/>
      <sheetName val="Chart Refining Mix"/>
      <sheetName val="Chart Refining Mix 2003"/>
      <sheetName val="Chart Refining Mix 2009"/>
      <sheetName val="Chart % Product Consumption"/>
      <sheetName val="pct 2003-2009"/>
      <sheetName val="pct"/>
      <sheetName val="Chart Consump Outlook ru"/>
      <sheetName val="Chart Consump Outlook"/>
      <sheetName val="print cons"/>
      <sheetName val="chart data"/>
      <sheetName val="Oil Prod chart"/>
      <sheetName val="Oil Cons chart"/>
      <sheetName val="Oil Export chart"/>
      <sheetName val="foreign export chart"/>
      <sheetName val="RefMix"/>
      <sheetName val="RUBValueChain"/>
      <sheetName val="LO prices"/>
      <sheetName val="LO prices RUS"/>
      <sheetName val="HO price RUS"/>
      <sheetName val="HO price"/>
      <sheetName val="Diesel price RUS"/>
      <sheetName val="Diesel price"/>
      <sheetName val="Jet kero price RUS"/>
      <sheetName val="Jet kero price"/>
      <sheetName val="Fuel oil price RUS"/>
      <sheetName val="Fuel oil price"/>
      <sheetName val="USDParity"/>
      <sheetName val="RSOILBAL"/>
      <sheetName val="Chart Price v Parity"/>
      <sheetName val="ElecticityChart"/>
      <sheetName val="GasChart"/>
      <sheetName val="TableMacroRUS"/>
      <sheetName val="TableMacro"/>
      <sheetName val="TableTaxes RUS"/>
      <sheetName val="TableTaxes"/>
      <sheetName val="TablePricesRUS"/>
      <sheetName val="TablePrices"/>
      <sheetName val="TableNetbacks RUS"/>
      <sheetName val="TableNetbacks"/>
      <sheetName val="TableNetbacksFlat"/>
      <sheetName val="TableSummary"/>
      <sheetName val="TableSumFlat RUS"/>
      <sheetName val="TableSummaryFlat"/>
      <sheetName val="Chart Rus Oil Bal RUS"/>
      <sheetName val="Chart Rus Oil Balance"/>
      <sheetName val="TranspTariffs"/>
      <sheetName val="Table Exec Sum RUS"/>
      <sheetName val="Table Exec Summary"/>
      <sheetName val="Materials"/>
      <sheetName val="Production Profile_new "/>
      <sheetName val="$60 Case_STL (30)"/>
      <sheetName val="Данные"/>
      <sheetName val="MAIN_PARAMETERS"/>
      <sheetName val="5_Excise (Q)"/>
      <sheetName val="EKDEB90"/>
      <sheetName val="bridge"/>
      <sheetName val="DIF-6"/>
      <sheetName val="Main"/>
      <sheetName val="FYI"/>
      <sheetName val="Contracts"/>
      <sheetName val="Control"/>
      <sheetName val="График"/>
      <sheetName val="2005 Model 36.5-33-14"/>
      <sheetName val="прочее"/>
      <sheetName val="p_l"/>
      <sheetName val="OFS TOTAL"/>
      <sheetName val="СВОД 2016"/>
      <sheetName val="БДПС 2016"/>
      <sheetName val="Справочники"/>
      <sheetName val="A4"/>
      <sheetName val="operators2"/>
      <sheetName val="Цена"/>
      <sheetName val="топография"/>
      <sheetName val="Кредиты"/>
      <sheetName val="Лист1"/>
      <sheetName val="Суточная"/>
      <sheetName val="Calc"/>
      <sheetName val="ID"/>
      <sheetName val="sapactivexlhiddensheet"/>
      <sheetName val="13.1"/>
      <sheetName val="Смета"/>
      <sheetName val="свод 2"/>
      <sheetName val="СметаСводная Рыб"/>
      <sheetName val="СВОД"/>
      <sheetName val="См 1 наруж.водопровод"/>
      <sheetName val="свод1"/>
      <sheetName val="СметаСводная снег"/>
      <sheetName val="Итог"/>
      <sheetName val="Обновление"/>
      <sheetName val="Справочные данные"/>
      <sheetName val="СОПГП V"/>
      <sheetName val="Настройка"/>
      <sheetName val="ИНВ_short"/>
      <sheetName val="справочник"/>
      <sheetName val="СС"/>
      <sheetName val="исходные данные"/>
      <sheetName val="расчетные таблицы"/>
      <sheetName val=""/>
      <sheetName val="Chart_Refining_Mix_RUS"/>
      <sheetName val="Chart_Refining_Mix"/>
      <sheetName val="Chart_Refining_Mix_2003"/>
      <sheetName val="Chart_Refining_Mix_2009"/>
      <sheetName val="Chart_%_Product_Consumption"/>
      <sheetName val="pct_2003-2009"/>
      <sheetName val="Chart_Consump_Outlook_ru"/>
      <sheetName val="Chart_Consump_Outlook"/>
      <sheetName val="print_cons"/>
      <sheetName val="chart_data"/>
      <sheetName val="Oil_Prod_chart"/>
      <sheetName val="Oil_Cons_chart"/>
      <sheetName val="Oil_Export_chart"/>
      <sheetName val="foreign_export_chart"/>
      <sheetName val="LO_prices"/>
      <sheetName val="LO_prices_RUS"/>
      <sheetName val="HO_price_RUS"/>
      <sheetName val="HO_price"/>
      <sheetName val="Diesel_price_RUS"/>
      <sheetName val="Diesel_price"/>
      <sheetName val="Jet_kero_price_RUS"/>
      <sheetName val="Jet_kero_price"/>
      <sheetName val="Fuel_oil_price_RUS"/>
      <sheetName val="Fuel_oil_price"/>
      <sheetName val="Chart_Price_v_Parity"/>
      <sheetName val="TableTaxes_RUS"/>
      <sheetName val="TableNetbacks_RUS"/>
      <sheetName val="TableSumFlat_RUS"/>
      <sheetName val="Chart_Rus_Oil_Bal_RUS"/>
      <sheetName val="Chart_Rus_Oil_Balance"/>
      <sheetName val="Table_Exec_Sum_RUS"/>
      <sheetName val="Table_Exec_Summary"/>
      <sheetName val="Production_Profile_new_"/>
      <sheetName val="МВЗ"/>
      <sheetName val="P_L_"/>
      <sheetName val="Смета 5.2. Кусты25,29,31,65"/>
      <sheetName val="Выпадающие списки"/>
      <sheetName val="геология "/>
      <sheetName val="смета СИД"/>
      <sheetName val="Данные для расчёта сметы"/>
      <sheetName val="Summary"/>
      <sheetName val="2.2 "/>
      <sheetName val="Opex personnel (Term facs)"/>
      <sheetName val="ПДР"/>
      <sheetName val="Курсы"/>
      <sheetName val="ПДР ООО &quot;Юкос ФБЦ&quot;"/>
      <sheetName val="Хар_"/>
      <sheetName val="С1_"/>
      <sheetName val="breakdown"/>
      <sheetName val="трансформация1"/>
      <sheetName val="Прибыль опл"/>
      <sheetName val="УП _2004"/>
      <sheetName val="1.3"/>
      <sheetName val="мсн"/>
      <sheetName val="пятилетка"/>
      <sheetName val="Параметры"/>
      <sheetName val="мониторинг"/>
      <sheetName val="Хаттон 90.90 Femco"/>
      <sheetName val="АЧ"/>
      <sheetName val="см8"/>
      <sheetName val="$60_Case_STL_(30)"/>
      <sheetName val="5_Excise_(Q)"/>
      <sheetName val="2005_Model_36_5-33-14"/>
      <sheetName val="OFS_TOTAL"/>
      <sheetName val="Списки"/>
      <sheetName val="Chart_Refining_Mix_RUS1"/>
      <sheetName val="Chart_Refining_Mix1"/>
      <sheetName val="Chart_Refining_Mix_20031"/>
      <sheetName val="Chart_Refining_Mix_20091"/>
      <sheetName val="Chart_%_Product_Consumption1"/>
      <sheetName val="pct_2003-20091"/>
      <sheetName val="Chart_Consump_Outlook_ru1"/>
      <sheetName val="Chart_Consump_Outlook1"/>
      <sheetName val="print_cons1"/>
      <sheetName val="chart_data1"/>
      <sheetName val="Oil_Prod_chart1"/>
      <sheetName val="Oil_Cons_chart1"/>
      <sheetName val="Oil_Export_chart1"/>
      <sheetName val="foreign_export_chart1"/>
      <sheetName val="LO_prices1"/>
      <sheetName val="LO_prices_RUS1"/>
      <sheetName val="HO_price_RUS1"/>
      <sheetName val="HO_price1"/>
      <sheetName val="Diesel_price_RUS1"/>
      <sheetName val="Diesel_price1"/>
      <sheetName val="Jet_kero_price_RUS1"/>
      <sheetName val="Jet_kero_price1"/>
      <sheetName val="Fuel_oil_price_RUS1"/>
      <sheetName val="Fuel_oil_price1"/>
      <sheetName val="Chart_Price_v_Parity1"/>
      <sheetName val="TableTaxes_RUS1"/>
      <sheetName val="TableNetbacks_RUS1"/>
      <sheetName val="TableSumFlat_RUS1"/>
      <sheetName val="Chart_Rus_Oil_Bal_RUS1"/>
      <sheetName val="Chart_Rus_Oil_Balance1"/>
      <sheetName val="Table_Exec_Sum_RUS1"/>
      <sheetName val="Table_Exec_Summary1"/>
      <sheetName val="Production_Profile_new_1"/>
      <sheetName val="$60_Case_STL_(30)1"/>
      <sheetName val="5_Excise_(Q)1"/>
      <sheetName val="2005_Model_36_5-33-141"/>
      <sheetName val="OFS_TOTAL1"/>
      <sheetName val="13_1"/>
      <sheetName val="свод_2"/>
      <sheetName val="СметаСводная_Рыб"/>
      <sheetName val="См_1_наруж_водопровод"/>
      <sheetName val="СметаСводная_снег"/>
      <sheetName val="Справочные_данные"/>
      <sheetName val="СВОД_2016"/>
      <sheetName val="БДПС_2016"/>
      <sheetName val="СОПГП_V"/>
      <sheetName val="исходные_данные"/>
      <sheetName val="расчетные_таблицы"/>
      <sheetName val="Смета_5_2__Кусты25,29,31,65"/>
      <sheetName val="Выпадающие_списки"/>
      <sheetName val="геология_"/>
      <sheetName val="смета_СИД"/>
      <sheetName val="Данные_для_расчёта_сметы"/>
      <sheetName val="2_2_"/>
      <sheetName val="Opex_personnel_(Term_facs)"/>
      <sheetName val="ПДР_ООО_&quot;Юкос_ФБЦ&quot;"/>
      <sheetName val="Прибыль_опл"/>
      <sheetName val="УП__2004"/>
      <sheetName val="1_3"/>
      <sheetName val="Хаттон_90_90_Femco"/>
      <sheetName val="ОТЧЕТ 3"/>
      <sheetName val="Chart_%_Product_Consumpti"/>
      <sheetName val="Бадра"/>
      <sheetName val="Fuel oil price_x0000_31,6"/>
      <sheetName val="Cons_Journals"/>
      <sheetName val="s"/>
      <sheetName val="Зап-3- СЦБ"/>
      <sheetName val="T1"/>
      <sheetName val="base"/>
      <sheetName val="Курдистан"/>
      <sheetName val="ВПР"/>
      <sheetName val="_впр"/>
      <sheetName val="СВОД БДДС ГФП"/>
      <sheetName val="список"/>
      <sheetName val="Бридж после СЭУ"/>
      <sheetName val="111"/>
      <sheetName val="Сценарий"/>
      <sheetName val="Список ПО"/>
      <sheetName val="К2_ВД_функ"/>
      <sheetName val="Расчет"/>
      <sheetName val="МПВ"/>
      <sheetName val="Статьи1"/>
      <sheetName val="bridge_x0000_̎骸澪᪐̔ [200"/>
      <sheetName val="Chart_Refining_Mix_RUS2"/>
      <sheetName val="Chart_Refining_Mix2"/>
      <sheetName val="Chart_Refining_Mix_20032"/>
      <sheetName val="Chart_Refining_Mix_20092"/>
      <sheetName val="Chart_%_Product_Consumption2"/>
      <sheetName val="pct_2003-20092"/>
      <sheetName val="Chart_Consump_Outlook_ru2"/>
      <sheetName val="Chart_Consump_Outlook2"/>
      <sheetName val="print_cons2"/>
      <sheetName val="chart_data2"/>
      <sheetName val="Oil_Prod_chart2"/>
      <sheetName val="Oil_Cons_chart2"/>
      <sheetName val="Oil_Export_chart2"/>
      <sheetName val="foreign_export_chart2"/>
      <sheetName val="LO_prices2"/>
      <sheetName val="LO_prices_RUS2"/>
      <sheetName val="HO_price_RUS2"/>
      <sheetName val="HO_price2"/>
      <sheetName val="Diesel_price_RUS2"/>
      <sheetName val="Diesel_price2"/>
      <sheetName val="Jet_kero_price_RUS2"/>
      <sheetName val="Jet_kero_price2"/>
      <sheetName val="Fuel_oil_price_RUS2"/>
      <sheetName val="Fuel_oil_price2"/>
      <sheetName val="Chart_Price_v_Parity2"/>
      <sheetName val="TableTaxes_RUS2"/>
      <sheetName val="TableNetbacks_RUS2"/>
      <sheetName val="TableSumFlat_RUS2"/>
      <sheetName val="Chart_Rus_Oil_Bal_RUS2"/>
      <sheetName val="Chart_Rus_Oil_Balance2"/>
      <sheetName val="Table_Exec_Sum_RUS2"/>
      <sheetName val="Table_Exec_Summary2"/>
      <sheetName val="Production_Profile_new_2"/>
      <sheetName val="$60_Case_STL_(30)2"/>
      <sheetName val="5_Excise_(Q)2"/>
      <sheetName val="2005_Model_36_5-33-142"/>
      <sheetName val="СВОД_20161"/>
      <sheetName val="БДПС_20161"/>
      <sheetName val="OFS_TOTAL2"/>
      <sheetName val="СОПГП_V1"/>
      <sheetName val="13_11"/>
      <sheetName val="свод_21"/>
      <sheetName val="СметаСводная_Рыб1"/>
      <sheetName val="См_1_наруж_водопровод1"/>
      <sheetName val="СметаСводная_снег1"/>
      <sheetName val="Справочные_данные1"/>
      <sheetName val="исходные_данные1"/>
      <sheetName val="расчетные_таблицы1"/>
      <sheetName val="Смета_5_2__Кусты25,29,31,651"/>
      <sheetName val="Выпадающие_списки1"/>
      <sheetName val="геология_1"/>
      <sheetName val="смета_СИД1"/>
      <sheetName val="Данные_для_расчёта_сметы1"/>
      <sheetName val="2_2_1"/>
      <sheetName val="Opex_personnel_(Term_facs)1"/>
      <sheetName val="ПДР_ООО_&quot;Юкос_ФБЦ&quot;1"/>
      <sheetName val="Прибыль_опл1"/>
      <sheetName val="УП__20041"/>
      <sheetName val="1_31"/>
      <sheetName val="Хаттон_90_90_Femco1"/>
      <sheetName val="ОТЧЕТ_3"/>
      <sheetName val="Допущения"/>
      <sheetName val="Salary"/>
      <sheetName val="Testing Results"/>
      <sheetName val="К1_контраг"/>
      <sheetName val="ЦК"/>
      <sheetName val="БР"/>
      <sheetName val="Техлист"/>
      <sheetName val="Fuel oil price_x005f_x0000_31,6"/>
      <sheetName val="Данные для отчета"/>
      <sheetName val="Контрагенты"/>
      <sheetName val="Статьи субподряда"/>
      <sheetName val="Проекты"/>
      <sheetName val="Fuel oil price?31,6"/>
      <sheetName val="5"/>
      <sheetName val="Лист2"/>
      <sheetName val="справочник ЦК и колодцев "/>
      <sheetName val="_x0001_럠ޡ_x0008_Ѐ屠Д캰ͦ癀ц_x000b__x0000__x0000__x0000__x0001__x0000_托ܘ#1晀"/>
      <sheetName val="увел.окл.на 3,8%, прем., РК и С"/>
      <sheetName val="Модель расчёта ГРиД"/>
      <sheetName val="Макроусловия"/>
      <sheetName val="Scoreing"/>
      <sheetName val="КапСтрой_Зарубежье"/>
      <sheetName val="Cash Fl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/>
      <sheetData sheetId="161"/>
      <sheetData sheetId="162" refreshError="1"/>
      <sheetData sheetId="163" refreshError="1"/>
      <sheetData sheetId="164" refreshError="1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"/>
      <sheetName val="Параметры"/>
      <sheetName val="Продажи"/>
      <sheetName val="#ССЫЛКА"/>
      <sheetName val="шахматка"/>
      <sheetName val="сахар"/>
      <sheetName val="Лист1"/>
      <sheetName val="Лист2"/>
      <sheetName val="Лист3"/>
      <sheetName val="расчет inc"/>
      <sheetName val="зерно"/>
      <sheetName val="за месяц"/>
      <sheetName val="1309"/>
      <sheetName val="51"/>
      <sheetName val="41"/>
      <sheetName val="Сырец_2000"/>
      <sheetName val="08.12"/>
      <sheetName val="КЗ"/>
      <sheetName val="ЗЗ"/>
      <sheetName val="цена перер"/>
      <sheetName val="сырец"/>
      <sheetName val="qCourse"/>
      <sheetName val="расч 41"/>
      <sheetName val="inc"/>
      <sheetName val="х"/>
      <sheetName val="%% по кт"/>
      <sheetName val="CONT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редиты данные на 07.02.2001"/>
      <sheetName val="Сахар"/>
      <sheetName val="Зерно"/>
      <sheetName val="Гарантии"/>
      <sheetName val="Лист2"/>
      <sheetName val="Параметры"/>
      <sheetName val="Продажи"/>
      <sheetName val="#ССЫЛКА"/>
      <sheetName val="шахматка"/>
      <sheetName val="%% по кт"/>
      <sheetName val="Ж"/>
      <sheetName val="жж-99"/>
      <sheetName val="qCour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Баланс"/>
      <sheetName val="Ф2"/>
      <sheetName val="Ф3"/>
      <sheetName val="Ф4"/>
      <sheetName val="Ф5"/>
      <sheetName val="Ф6"/>
      <sheetName val="Чистые активы"/>
      <sheetName val="Инструкция"/>
    </sheetNames>
    <sheetDataSet>
      <sheetData sheetId="0" refreshError="1">
        <row r="7">
          <cell r="I7" t="str">
            <v>31 декабря 2004г.</v>
          </cell>
        </row>
        <row r="12">
          <cell r="D12" t="str">
            <v xml:space="preserve">^ </v>
          </cell>
          <cell r="L12" t="str">
            <v xml:space="preserve">^ </v>
          </cell>
        </row>
        <row r="14">
          <cell r="L14" t="str">
            <v xml:space="preserve">^ </v>
          </cell>
        </row>
        <row r="15">
          <cell r="E15" t="str">
            <v xml:space="preserve">^ </v>
          </cell>
          <cell r="L15" t="str">
            <v xml:space="preserve">^ </v>
          </cell>
        </row>
        <row r="16">
          <cell r="L16" t="str">
            <v xml:space="preserve">^ </v>
          </cell>
        </row>
        <row r="17">
          <cell r="L17" t="str">
            <v xml:space="preserve">^ </v>
          </cell>
        </row>
        <row r="20">
          <cell r="C20" t="str">
            <v xml:space="preserve">^ </v>
          </cell>
        </row>
      </sheetData>
      <sheetData sheetId="1" refreshError="1"/>
      <sheetData sheetId="2" refreshError="1"/>
      <sheetData sheetId="3" refreshError="1"/>
      <sheetData sheetId="4" refreshError="1">
        <row r="27">
          <cell r="M27">
            <v>35</v>
          </cell>
        </row>
        <row r="29">
          <cell r="K29">
            <v>68</v>
          </cell>
        </row>
        <row r="32">
          <cell r="N32">
            <v>64</v>
          </cell>
        </row>
        <row r="33">
          <cell r="N33">
            <v>19</v>
          </cell>
        </row>
        <row r="34">
          <cell r="N34">
            <v>22</v>
          </cell>
        </row>
        <row r="37">
          <cell r="K37">
            <v>3211</v>
          </cell>
          <cell r="M37">
            <v>775</v>
          </cell>
        </row>
        <row r="38">
          <cell r="K38">
            <v>2786</v>
          </cell>
        </row>
        <row r="39">
          <cell r="K39">
            <v>1524</v>
          </cell>
        </row>
        <row r="42">
          <cell r="N42">
            <v>90</v>
          </cell>
        </row>
        <row r="44">
          <cell r="N44">
            <v>64</v>
          </cell>
        </row>
        <row r="45">
          <cell r="K45">
            <v>7595</v>
          </cell>
        </row>
        <row r="50">
          <cell r="J50">
            <v>7</v>
          </cell>
        </row>
        <row r="51">
          <cell r="J51">
            <v>1117</v>
          </cell>
        </row>
        <row r="52">
          <cell r="J52">
            <v>147</v>
          </cell>
        </row>
      </sheetData>
      <sheetData sheetId="5" refreshError="1">
        <row r="51">
          <cell r="K51">
            <v>983</v>
          </cell>
          <cell r="N51">
            <v>1222</v>
          </cell>
        </row>
        <row r="54">
          <cell r="K54">
            <v>112</v>
          </cell>
          <cell r="N54">
            <v>146</v>
          </cell>
        </row>
        <row r="56">
          <cell r="K56">
            <v>123</v>
          </cell>
          <cell r="N56">
            <v>397</v>
          </cell>
        </row>
        <row r="66">
          <cell r="K66">
            <v>56</v>
          </cell>
          <cell r="N66">
            <v>66</v>
          </cell>
        </row>
        <row r="67">
          <cell r="K67">
            <v>58</v>
          </cell>
          <cell r="N67">
            <v>27</v>
          </cell>
        </row>
        <row r="72">
          <cell r="K72">
            <v>0</v>
          </cell>
          <cell r="N72">
            <v>0</v>
          </cell>
        </row>
        <row r="74">
          <cell r="J74">
            <v>22</v>
          </cell>
          <cell r="M74">
            <v>22</v>
          </cell>
        </row>
        <row r="76">
          <cell r="J76">
            <v>22</v>
          </cell>
          <cell r="M76">
            <v>22</v>
          </cell>
        </row>
        <row r="89">
          <cell r="J89">
            <v>5368</v>
          </cell>
          <cell r="N89">
            <v>6696</v>
          </cell>
        </row>
        <row r="90">
          <cell r="J90">
            <v>997</v>
          </cell>
          <cell r="N90">
            <v>1198</v>
          </cell>
        </row>
        <row r="94">
          <cell r="J94">
            <v>3228</v>
          </cell>
          <cell r="N94">
            <v>3833</v>
          </cell>
        </row>
        <row r="95">
          <cell r="J95">
            <v>712</v>
          </cell>
          <cell r="N95">
            <v>2923</v>
          </cell>
        </row>
        <row r="96">
          <cell r="J96">
            <v>215</v>
          </cell>
          <cell r="N96">
            <v>219</v>
          </cell>
        </row>
        <row r="97">
          <cell r="J97">
            <v>98</v>
          </cell>
          <cell r="N97">
            <v>130</v>
          </cell>
        </row>
        <row r="109">
          <cell r="N109">
            <v>1</v>
          </cell>
        </row>
        <row r="110">
          <cell r="J110">
            <v>15</v>
          </cell>
          <cell r="N110">
            <v>11</v>
          </cell>
        </row>
        <row r="118">
          <cell r="J118">
            <v>2332</v>
          </cell>
        </row>
        <row r="119">
          <cell r="J119">
            <v>1221</v>
          </cell>
        </row>
        <row r="132">
          <cell r="J132">
            <v>758</v>
          </cell>
        </row>
        <row r="133">
          <cell r="J133">
            <v>-4</v>
          </cell>
        </row>
        <row r="159">
          <cell r="J159">
            <v>19</v>
          </cell>
          <cell r="K159">
            <v>87</v>
          </cell>
        </row>
        <row r="160">
          <cell r="N160">
            <v>1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Характеристика"/>
      <sheetName val="ЗАП"/>
      <sheetName val="ФИ"/>
      <sheetName val="земля"/>
      <sheetName val="СРАВНИТ"/>
      <sheetName val="ДП"/>
      <sheetName val="R"/>
      <sheetName val="СОГЛАС"/>
    </sheetNames>
    <sheetDataSet>
      <sheetData sheetId="0">
        <row r="3">
          <cell r="E3">
            <v>36.228400000000001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внутр. оценка"/>
      <sheetName val="коэф.анализ"/>
      <sheetName val="Модуль"/>
      <sheetName val="Смета"/>
      <sheetName val="План_Платежей"/>
      <sheetName val="Факт Dink-Inv 2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афик(апр-04-06)"/>
      <sheetName val="Сводная (2004)"/>
      <sheetName val="Сводная ЛССМУ"/>
      <sheetName val="#ССЫЛКА"/>
      <sheetName val="Черновик"/>
      <sheetName val="Сводная_(2004)"/>
      <sheetName val="Сводная_ЛССМУ"/>
      <sheetName val="Сводная_(2004)1"/>
      <sheetName val="Сводная_ЛССМУ1"/>
      <sheetName val="Сводная_(2004)2"/>
      <sheetName val="Сводная_ЛССМУ2"/>
      <sheetName val="Сводная_(2004)3"/>
      <sheetName val="Сводная_ЛССМУ3"/>
      <sheetName val="cur_projects pl"/>
      <sheetName val="Параметры"/>
      <sheetName val="Narratives-Subsidiarie"/>
      <sheetName val="Breakdown CAPEX (PBC)"/>
      <sheetName val="POW"/>
      <sheetName val="продажи_1_оч."/>
      <sheetName val="Input"/>
      <sheetName val="Таблица"/>
      <sheetName val="sводная ЛССМУ"/>
      <sheetName val="№1_отчет о реализации площадей"/>
      <sheetName val="Отчет о реализации площадей"/>
      <sheetName val="oil "/>
      <sheetName val="beer"/>
      <sheetName val="mobile "/>
      <sheetName val="energy "/>
      <sheetName val="metal "/>
      <sheetName val="telecom "/>
      <sheetName val="airlines"/>
      <sheetName val="oil-shipping"/>
      <sheetName val="banking"/>
      <sheetName val="consumer&amp;retail"/>
      <sheetName val="sheet1"/>
      <sheetName val="_ф3"/>
      <sheetName val="_Ф4"/>
      <sheetName val="_Ф5"/>
      <sheetName val="Ф7_цены"/>
      <sheetName val="Ф8_цены"/>
      <sheetName val="Summary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Лист1"/>
      <sheetName val="INDIRECT COST"/>
      <sheetName val="каскад,5"/>
      <sheetName val="бог"/>
      <sheetName val="мфтц,к.4"/>
      <sheetName val="natl consult reg."/>
      <sheetName val="lob"/>
      <sheetName val="лист4"/>
      <sheetName val="Новая презентация"/>
      <sheetName val="Предпосылки"/>
      <sheetName val="Фин отчетность МСФО"/>
      <sheetName val="Вход"/>
      <sheetName val="Cash2"/>
      <sheetName val="Z"/>
      <sheetName val="inputs"/>
      <sheetName val="Бюджет"/>
      <sheetName val="Data"/>
      <sheetName val="cur_projects_pl"/>
      <sheetName val="Сводная_(2004)4"/>
      <sheetName val="Сводная_ЛССМУ4"/>
      <sheetName val="cur_projects_pl1"/>
      <sheetName val="Breakdown_CAPEX_(PBC)"/>
      <sheetName val="продажи_1_оч_"/>
      <sheetName val="sводная_ЛССМУ"/>
      <sheetName val="Отчет_о_реализации_площадей"/>
      <sheetName val="№1_отчет_о_реализации_площадей"/>
      <sheetName val="oil_"/>
      <sheetName val="mobile_"/>
      <sheetName val="energy_"/>
      <sheetName val="metal_"/>
      <sheetName val="telecom_"/>
      <sheetName val="INDIRECT_COST"/>
      <sheetName val="Kur"/>
    </sheetNames>
    <sheetDataSet>
      <sheetData sheetId="0">
        <row r="39">
          <cell r="DE39">
            <v>161910764.88000003</v>
          </cell>
        </row>
      </sheetData>
      <sheetData sheetId="1" refreshError="1"/>
      <sheetData sheetId="2" refreshError="1">
        <row r="39">
          <cell r="DE39">
            <v>161910764.88000003</v>
          </cell>
        </row>
      </sheetData>
      <sheetData sheetId="3" refreshError="1"/>
      <sheetData sheetId="4" refreshError="1"/>
      <sheetData sheetId="5">
        <row r="39">
          <cell r="DE39">
            <v>161910764.88000003</v>
          </cell>
        </row>
      </sheetData>
      <sheetData sheetId="6">
        <row r="39">
          <cell r="DE39">
            <v>161910764.88000003</v>
          </cell>
        </row>
      </sheetData>
      <sheetData sheetId="7">
        <row r="39">
          <cell r="DE39">
            <v>161910764.88000003</v>
          </cell>
        </row>
      </sheetData>
      <sheetData sheetId="8">
        <row r="39">
          <cell r="DE39">
            <v>161910764.88000003</v>
          </cell>
        </row>
      </sheetData>
      <sheetData sheetId="9">
        <row r="39">
          <cell r="DE39">
            <v>161910764.88000003</v>
          </cell>
        </row>
      </sheetData>
      <sheetData sheetId="10">
        <row r="39">
          <cell r="DE39">
            <v>161910764.88000003</v>
          </cell>
        </row>
      </sheetData>
      <sheetData sheetId="11">
        <row r="39">
          <cell r="DE39">
            <v>161910764.88000003</v>
          </cell>
        </row>
      </sheetData>
      <sheetData sheetId="12">
        <row r="39">
          <cell r="DE39">
            <v>161910764.88000003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>
        <row r="39">
          <cell r="DE39">
            <v>161910764.88000003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БК"/>
      <sheetName val="Итог"/>
      <sheetName val="бытовой корпус"/>
      <sheetName val="газоочистные соор № 2"/>
      <sheetName val="газоочистные соор № 3"/>
      <sheetName val="плавильный цех"/>
      <sheetName val="градирня"/>
      <sheetName val="2"/>
      <sheetName val="1"/>
      <sheetName val="Сведение"/>
      <sheetName val="общий"/>
      <sheetName val="Rates"/>
      <sheetName val="общие данные"/>
      <sheetName val="исход-итог"/>
      <sheetName val="затр_подх"/>
      <sheetName val="Исходные данные"/>
      <sheetName val="Док+Исх"/>
      <sheetName val="общие сведения"/>
      <sheetName val="Метод остатка"/>
      <sheetName val="Сводная ЛССМУ"/>
      <sheetName val="Служебный"/>
      <sheetName val="свед"/>
      <sheetName val="Начало"/>
      <sheetName val="исход_итог"/>
      <sheetName val="ОСЗ"/>
      <sheetName val="14.ДП"/>
      <sheetName val="1.ИСХ "/>
      <sheetName val="Лист2"/>
      <sheetName val="Параметры"/>
      <sheetName val="НФИк"/>
      <sheetName val="сравнительный "/>
      <sheetName val="Use"/>
      <sheetName val="Калькуляции"/>
      <sheetName val=" Assump"/>
      <sheetName val="ЛитБ"/>
      <sheetName val="Исходные"/>
      <sheetName val="Tabelle2"/>
      <sheetName val="Gazprom on SPBEX-RTS"/>
      <sheetName val="курс валют"/>
      <sheetName val="Rent Assumptions"/>
      <sheetName val="Construction_Shelkovo_VK"/>
      <sheetName val=" Assumptions"/>
      <sheetName val="PL по отгрузке"/>
      <sheetName val="Ключевые данные"/>
      <sheetName val="Финпоказатели"/>
      <sheetName val="график строительства"/>
      <sheetName val="дох_word"/>
      <sheetName val="Спис_Объекты_недв"/>
      <sheetName val="общее"/>
      <sheetName val="Баз предп"/>
      <sheetName val="Изменения"/>
      <sheetName val="1.14"/>
      <sheetName val="Лист1"/>
      <sheetName val="1.10"/>
      <sheetName val="1 - General Info"/>
      <sheetName val="3.ЗАТРАТЫ"/>
      <sheetName val="бытовой_корпус"/>
      <sheetName val="газоочистные_соор_№_2"/>
      <sheetName val="газоочистные_соор_№_3"/>
      <sheetName val="плавильный_цех"/>
      <sheetName val="Исходные_данные"/>
      <sheetName val="общие_сведения"/>
      <sheetName val="Метод_остатка"/>
      <sheetName val="общие_данные"/>
      <sheetName val="Сводная_ЛССМУ"/>
      <sheetName val="сравнительный_"/>
      <sheetName val="1_-_General_Info"/>
      <sheetName val="Ключевые_данные"/>
      <sheetName val="график_строительства"/>
      <sheetName val="_Assump"/>
      <sheetName val="Gazprom_on_SPBEX-RTS"/>
      <sheetName val="курс_валют"/>
      <sheetName val="Содержание"/>
      <sheetName val="график01_09_02"/>
      <sheetName val="3_ЗАТРАТЫ"/>
      <sheetName val="график01.09.02"/>
      <sheetName val="6.Продажа квартир"/>
      <sheetName val="СП_КОМПЛЕКС"/>
      <sheetName val="4.озеленение"/>
      <sheetName val="Forecast"/>
      <sheetName val="Коррект"/>
      <sheetName val="расчет_стоимости"/>
      <sheetName val="pwc p&amp;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K1">
            <v>28.66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 refreshError="1"/>
      <sheetData sheetId="73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"/>
      <sheetName val="ОБЪЕКТ"/>
      <sheetName val="ЗЕМЛЯ"/>
      <sheetName val="СРАВНИТЕЛЬНЫЙ"/>
      <sheetName val="ДОХОДНЫЙ"/>
      <sheetName val="офис ставка"/>
      <sheetName val="R"/>
      <sheetName val="ЗАТРАТНЫЙ"/>
      <sheetName val="ПП"/>
    </sheetNames>
    <sheetDataSet>
      <sheetData sheetId="0">
        <row r="11">
          <cell r="B11" t="str">
            <v>г. Москва, Вознесенский пер., д.10, стр.1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15_В_дерев"/>
      <sheetName val="512_А_кирп"/>
      <sheetName val="демонт_всех"/>
      <sheetName val="исход-итог"/>
      <sheetName val="восст"/>
      <sheetName val="исход_итог"/>
      <sheetName val="затр_подх"/>
      <sheetName val="1"/>
      <sheetName val="Параметры"/>
      <sheetName val="свед"/>
      <sheetName val="Начало"/>
      <sheetName val="общие данные"/>
      <sheetName val="Balance Sheet"/>
      <sheetName val="общие сведения"/>
      <sheetName val="Содержание"/>
      <sheetName val="Sheet2"/>
      <sheetName val="Дебиторка"/>
      <sheetName val="Rates"/>
      <sheetName val="Лист2"/>
      <sheetName val="общий"/>
      <sheetName val="разряд"/>
      <sheetName val="Аналоги"/>
      <sheetName val="Исходные"/>
      <sheetName val="график строительства"/>
      <sheetName val="Метод остатка"/>
      <sheetName val="проч ОС"/>
      <sheetName val="З_база_зел1"/>
      <sheetName val="Списки"/>
      <sheetName val="ВЫВОДЫ"/>
      <sheetName val="ликвидац"/>
      <sheetName val="Согласование"/>
      <sheetName val="522-ПП"/>
      <sheetName val="Земля"/>
      <sheetName val="Затратный"/>
      <sheetName val="Кпп"/>
      <sheetName val="Аналоги_Продажа"/>
      <sheetName val="Сравнение"/>
      <sheetName val="Аналоги_аренда_торговля"/>
      <sheetName val="Доходный"/>
      <sheetName val="представ_докум"/>
      <sheetName val="Общ.сведения"/>
      <sheetName val="Местоположение, земля"/>
      <sheetName val="Техн.характ."/>
      <sheetName val="Распред.пом."/>
      <sheetName val="Таб. износа"/>
      <sheetName val="Кпр"/>
      <sheetName val="коэф кап (2)"/>
      <sheetName val="Таблица_Аренда"/>
      <sheetName val="Аренда"/>
      <sheetName val="Таблицы"/>
      <sheetName val="ПСН"/>
      <sheetName val="ОСЗ"/>
      <sheetName val="Лист1"/>
      <sheetName val="Лист3"/>
      <sheetName val="ОД"/>
      <sheetName val="Литер М"/>
      <sheetName val="Капвложения"/>
      <sheetName val="Резервы"/>
      <sheetName val="Баз предп"/>
      <sheetName val="ЗУ_торг"/>
      <sheetName val="Служебный"/>
      <sheetName val="БДДС Крутьки"/>
      <sheetName val="Tenants SCH  USD"/>
      <sheetName val="оборот средства_год_"/>
      <sheetName val="dk"/>
      <sheetName val="Запрос"/>
      <sheetName val="КлассЗСМК"/>
      <sheetName val="Selling data"/>
      <sheetName val="Print Calc"/>
      <sheetName val="Master Inputs Start Here"/>
      <sheetName val="HBS initial"/>
      <sheetName val="ЛитБ"/>
      <sheetName val="Коррект"/>
      <sheetName val="Трансформация бу в уу(сентябрь)"/>
      <sheetName val="1.ИСХ "/>
      <sheetName val="константы"/>
      <sheetName val="Инд"/>
      <sheetName val="общие_данные"/>
      <sheetName val="общие_сведения"/>
      <sheetName val="Balance_Sheet"/>
      <sheetName val="проч_ОС"/>
      <sheetName val="график_строительства"/>
      <sheetName val="Метод_остатка"/>
      <sheetName val="Общ_сведения"/>
      <sheetName val="Местоположение,_земля"/>
      <sheetName val="Техн_характ_"/>
      <sheetName val="Распред_пом_"/>
      <sheetName val="Таб__износа"/>
      <sheetName val="коэф_кап_(2)"/>
      <sheetName val="Литер_М"/>
      <sheetName val="1_ИСХ_"/>
      <sheetName val="Баз_предп"/>
      <sheetName val="Selling_data"/>
      <sheetName val="Print_Calc"/>
      <sheetName val="Master_Inputs_Start_Here"/>
      <sheetName val="HBS_initial"/>
      <sheetName val="Трансформация_бу_в_уу(сентябрь)"/>
      <sheetName val="БДДС_Крутьки"/>
      <sheetName val="Ставка_Д"/>
      <sheetName val="Use"/>
      <sheetName val="Ставка Д"/>
      <sheetName val="%%"/>
      <sheetName val="const"/>
      <sheetName val="Resume"/>
      <sheetName val="InputTI"/>
      <sheetName val="ПВД"/>
      <sheetName val=" General Assumptions"/>
      <sheetName val="Стоим._стр-ва"/>
      <sheetName val="1.411.1"/>
      <sheetName val="Справочник"/>
      <sheetName val="рын счит"/>
      <sheetName val="Прочие"/>
      <sheetName val="ДО"/>
      <sheetName val="КОММ"/>
      <sheetName val="УПР"/>
      <sheetName val="#ССЫЛКА"/>
      <sheetName val="2.Продажа квартир"/>
      <sheetName val="Rev"/>
      <sheetName val="DCF"/>
      <sheetName val="TOC"/>
      <sheetName val="14.ДП"/>
      <sheetName val="VFI"/>
      <sheetName val="LTRate"/>
      <sheetName val="Ки"/>
      <sheetName val="Regions"/>
      <sheetName val="Tab1"/>
      <sheetName val="Tab2-X"/>
      <sheetName val="Tab2-1"/>
      <sheetName val="Tab3"/>
      <sheetName val="CAD"/>
      <sheetName val="плата за землю"/>
      <sheetName val="Read me first"/>
      <sheetName val="Brif_zdanie"/>
      <sheetName val="Выписка_РФИ"/>
      <sheetName val="Имущество_элементы"/>
      <sheetName val="Объект_курс$"/>
      <sheetName val="Титул"/>
      <sheetName val="мансарда"/>
      <sheetName val="Вспомогательный"/>
    </sheetNames>
    <sheetDataSet>
      <sheetData sheetId="0" refreshError="1"/>
      <sheetData sheetId="1" refreshError="1"/>
      <sheetData sheetId="2" refreshError="1"/>
      <sheetData sheetId="3" refreshError="1">
        <row r="2">
          <cell r="C2">
            <v>28.39</v>
          </cell>
        </row>
      </sheetData>
      <sheetData sheetId="4" refreshError="1"/>
      <sheetData sheetId="5">
        <row r="2">
          <cell r="C2">
            <v>28.39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етод остатка"/>
      <sheetName val="Master Inputs Start Here"/>
      <sheetName val="HBS initial"/>
      <sheetName val="Brif_zdanie"/>
      <sheetName val="Выписка_РФИ"/>
      <sheetName val="Имущество_элементы"/>
      <sheetName val="Параметры"/>
      <sheetName val="Read me first"/>
      <sheetName val="MGSN"/>
      <sheetName val="Спис_Объекты_недв"/>
      <sheetName val="общее"/>
      <sheetName val="восст"/>
      <sheetName val="Data"/>
      <sheetName val="АС 1-Н"/>
      <sheetName val="Для шаблона"/>
      <sheetName val="График строительства"/>
      <sheetName val="свед"/>
      <sheetName val="исход-итог"/>
      <sheetName val="общие сведения"/>
      <sheetName val="Осн_данные"/>
      <sheetName val="затр_подх"/>
      <sheetName val="Balance Sheet"/>
      <sheetName val="Income Statement"/>
      <sheetName val="НФИк"/>
      <sheetName val="Содержание"/>
      <sheetName val="Glossary"/>
      <sheetName val="Запрос"/>
      <sheetName val="Расчет земли"/>
      <sheetName val="Служебный"/>
      <sheetName val="Начало"/>
      <sheetName val="ОСЗ"/>
      <sheetName val="14.ДП"/>
      <sheetName val="1.ИСХ "/>
      <sheetName val="6.Продажа квартир"/>
      <sheetName val="3.ЗАТРАТЫ"/>
      <sheetName val="общие данные"/>
      <sheetName val="1"/>
      <sheetName val="ЛитБ"/>
      <sheetName val="VFI"/>
      <sheetName val="LTRate"/>
      <sheetName val="Ки"/>
      <sheetName val="Regions"/>
      <sheetName val="Tab1"/>
      <sheetName val="Tab2-X"/>
      <sheetName val="Tab2-1"/>
      <sheetName val="Tab3"/>
      <sheetName val="CAD"/>
      <sheetName val="Инвест-пр1"/>
      <sheetName val="Инвест-пр4"/>
      <sheetName val="ДП"/>
      <sheetName val="ТЭП"/>
      <sheetName val="Аренда Торговля"/>
      <sheetName val="Аренда СТО"/>
      <sheetName val="Дисконт"/>
      <sheetName val="Расчет"/>
      <sheetName val="General inputs"/>
      <sheetName val="2.Продажа квартир"/>
      <sheetName val="Use"/>
      <sheetName val="Дебиторы"/>
      <sheetName val="Лист2"/>
      <sheetName val="Осн_данн"/>
      <sheetName val="КО-Инвест"/>
      <sheetName val="Списки"/>
      <sheetName val="Инд"/>
      <sheetName val="Лист1"/>
      <sheetName val="Исходные"/>
      <sheetName val="Вспом. расчеты"/>
      <sheetName val="Общий график"/>
      <sheetName val="Лист6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6"/>
      <sheetName val="Модуль1"/>
      <sheetName val="Ставка Д"/>
      <sheetName val="#ССЫЛКА"/>
      <sheetName val="ТЭП гостиница"/>
      <sheetName val="рабочий"/>
      <sheetName val="Курсы"/>
      <sheetName val="константы"/>
      <sheetName val="Дхд 639,3"/>
      <sheetName val="Статист"/>
      <sheetName val="Док+Исх"/>
      <sheetName val="ИТОГО"/>
      <sheetName val="d"/>
      <sheetName val="СРЗУ"/>
      <sheetName val="Исходные данные"/>
      <sheetName val="ПП"/>
      <sheetName val="Rev"/>
      <sheetName val="DCF"/>
      <sheetName val="TOC"/>
      <sheetName val="ПВД"/>
      <sheetName val="исх 1"/>
      <sheetName val="ЗУ Промка продажа"/>
      <sheetName val="BS (RAS)"/>
      <sheetName val="инфо"/>
      <sheetName val="график01.09.02"/>
      <sheetName val="Sheet1"/>
      <sheetName val="Лист3"/>
      <sheetName val="tmpB193"/>
      <sheetName val="Баз предп"/>
      <sheetName val="Капвложения"/>
      <sheetName val="9.ДП"/>
      <sheetName val="Смета"/>
      <sheetName val="общий"/>
      <sheetName val="Доходный подход аренда"/>
      <sheetName val="Ср.пр."/>
      <sheetName val="2002(v2)"/>
      <sheetName val=" Assumptions"/>
      <sheetName val="Ставка дисконта"/>
      <sheetName val="от закзчика"/>
      <sheetName val="СП_КОМПЛЕКС"/>
      <sheetName val="4.озеленение"/>
      <sheetName val="1.ИСХ"/>
      <sheetName val="документы Кириши"/>
      <sheetName val="остаток через улучшения"/>
      <sheetName val="Титул"/>
      <sheetName val="Sheet2"/>
      <sheetName val="цены цехов"/>
      <sheetName val="Земля"/>
      <sheetName val="финплан стр.п."/>
      <sheetName val="Промка"/>
      <sheetName val="Резервы"/>
      <sheetName val="Доход"/>
      <sheetName val="Financials"/>
      <sheetName val="Огл. Графиков"/>
      <sheetName val="Текущие цены"/>
      <sheetName val="Трансформация бу в уу(сентябрь)"/>
      <sheetName val="Doc_Name"/>
      <sheetName val="Const"/>
      <sheetName val="Литер М"/>
      <sheetName val="аналоги коттедж (2)"/>
      <sheetName val="МСП т"/>
      <sheetName val="Ликвид."/>
      <sheetName val="Гр5(о)"/>
      <sheetName val="инвестиции 2007"/>
      <sheetName val="КС"/>
      <sheetName val="g"/>
      <sheetName val="план"/>
      <sheetName val="Сквозной расчет"/>
      <sheetName val="1.10.96"/>
      <sheetName val="Коррект"/>
      <sheetName val="Forecast"/>
      <sheetName val="Группы"/>
      <sheetName val="1.14"/>
      <sheetName val="1.10"/>
      <sheetName val="МФК2"/>
      <sheetName val="УЧАСТКИ"/>
      <sheetName val="ar"/>
      <sheetName val="ТЭП своб.уч."/>
      <sheetName val="Разб"/>
      <sheetName val="Земля дох"/>
      <sheetName val="ЗП"/>
      <sheetName val="Итог"/>
      <sheetName val="ликв"/>
      <sheetName val="перечень"/>
      <sheetName val="Ар2"/>
      <sheetName val="dk"/>
      <sheetName val="БУ на 30.06.2008"/>
      <sheetName val="Исходные условия (константы)"/>
      <sheetName val="Функции"/>
      <sheetName val="Sheet5"/>
      <sheetName val="Deprec"/>
      <sheetName val="Additions 2002"/>
      <sheetName val="Изменения"/>
      <sheetName val="проч ОС"/>
      <sheetName val="ставки_дисконта"/>
      <sheetName val="Для расчета амортизации"/>
      <sheetName val="физ_из_итог"/>
      <sheetName val="Гостиница станд "/>
      <sheetName val="Расчет ЗУ СП"/>
      <sheetName val="ЗУ_торг"/>
      <sheetName val="исход_итог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"/>
      <sheetName val="#ССЫЛКА"/>
      <sheetName val="_ССЫЛКА"/>
    </sheetNames>
    <sheetDataSet>
      <sheetData sheetId="0" refreshError="1"/>
      <sheetData sheetId="1" refreshError="1"/>
      <sheetData sheetId="2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НЭИ застр"/>
      <sheetName val="ННЭИ незастр"/>
      <sheetName val="Пред приб"/>
      <sheetName val="Модульный"/>
      <sheetName val="УПВС с землей"/>
      <sheetName val="УПВС"/>
      <sheetName val="рассчет ФИ"/>
      <sheetName val="признаки ФИ "/>
      <sheetName val="НФИк"/>
      <sheetName val="НФИд"/>
      <sheetName val="Лист1"/>
      <sheetName val="Расчет коэф мод"/>
      <sheetName val="УФУ2"/>
      <sheetName val="Расчет ст-ти модерн"/>
      <sheetName val="функ2рода кор"/>
      <sheetName val="земля"/>
      <sheetName val="Содержани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7">
          <cell r="A17">
            <v>121669648.18420421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Все счета"/>
      <sheetName val="Титульный лист"/>
      <sheetName val="Все счета-свод по кварталам"/>
      <sheetName val="Все счета-свод по кварталам(2)"/>
      <sheetName val="свод-вексель-квартал"/>
      <sheetName val="Кэшфло"/>
      <sheetName val="поступл"/>
      <sheetName val="Структура ЛП"/>
      <sheetName val="платежи"/>
      <sheetName val="Структура"/>
      <sheetName val="Структура обязательств"/>
      <sheetName val="Уставный капитал"/>
      <sheetName val="Уставный капитал (2)"/>
      <sheetName val="Уставный капитал (3)"/>
      <sheetName val="Уставный капитал (4)"/>
      <sheetName val="приобр"/>
      <sheetName val="админист"/>
      <sheetName val="векселя"/>
      <sheetName val="векселя по квартал"/>
      <sheetName val="декабрь"/>
      <sheetName val="сводн-декабрь"/>
      <sheetName val="р-счет-декабрь"/>
      <sheetName val="План Все+прогноз(последний)"/>
      <sheetName val="свод-векселя"/>
      <sheetName val="Потоки-авиа"/>
      <sheetName val="Москва-ТЭК"/>
      <sheetName val="Москва-АВТО"/>
      <sheetName val="Прочие направления"/>
      <sheetName val="Потоки-Казань"/>
      <sheetName val="свод таб казань"/>
      <sheetName val="Расчет налогов"/>
      <sheetName val="Потоки общеадм расх без Казани"/>
      <sheetName val="свод таб  кроме Казани"/>
      <sheetName val="51-9 мес (2)"/>
      <sheetName val="51-9 мес"/>
      <sheetName val="свод-тек-вал-11 мес"/>
      <sheetName val="тек-вал-11 мес"/>
      <sheetName val="прочие счета"/>
      <sheetName val="все казань"/>
      <sheetName val="рсчет казань"/>
      <sheetName val="касса-казань"/>
      <sheetName val="свод-казань-р-сч-декабрь"/>
      <sheetName val="р-сч-казань-декабрь"/>
      <sheetName val="свод-кас-дек-казань"/>
      <sheetName val="касса-казань-декабрь"/>
      <sheetName val="октябрь"/>
      <sheetName val="ноябрь"/>
      <sheetName val="касса москва -11 мес"/>
      <sheetName val="касса-11 мес свод"/>
      <sheetName val="касса-москва-до декабря"/>
      <sheetName val="ZM"/>
      <sheetName val="ZM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1">
          <cell r="A1" t="str">
            <v>DATAOPER</v>
          </cell>
          <cell r="B1" t="str">
            <v>NNDOC</v>
          </cell>
          <cell r="C1" t="str">
            <v>DT_SCHET</v>
          </cell>
          <cell r="D1" t="str">
            <v>DT_CODE</v>
          </cell>
          <cell r="E1" t="str">
            <v>KT_SCHET</v>
          </cell>
          <cell r="F1" t="str">
            <v>KT_CODE</v>
          </cell>
          <cell r="G1" t="str">
            <v>Дебет</v>
          </cell>
          <cell r="H1" t="str">
            <v>NAMEOPER</v>
          </cell>
          <cell r="I1" t="str">
            <v>Кредит</v>
          </cell>
        </row>
        <row r="2">
          <cell r="A2">
            <v>37228</v>
          </cell>
          <cell r="B2" t="str">
            <v>000095</v>
          </cell>
          <cell r="C2" t="str">
            <v>501</v>
          </cell>
          <cell r="E2" t="str">
            <v>711</v>
          </cell>
          <cell r="F2" t="str">
            <v>хоз</v>
          </cell>
          <cell r="G2">
            <v>5000</v>
          </cell>
          <cell r="H2" t="str">
            <v>Возврат подотчетных сумм</v>
          </cell>
        </row>
        <row r="3">
          <cell r="A3">
            <v>37232</v>
          </cell>
          <cell r="B3" t="str">
            <v>000096</v>
          </cell>
          <cell r="C3" t="str">
            <v>501</v>
          </cell>
          <cell r="E3" t="str">
            <v>511</v>
          </cell>
          <cell r="F3" t="str">
            <v>расчеты</v>
          </cell>
          <cell r="G3">
            <v>2350</v>
          </cell>
          <cell r="H3" t="str">
            <v>Получено из банка в кассу по чеку N 5725591</v>
          </cell>
        </row>
        <row r="4">
          <cell r="A4">
            <v>37236</v>
          </cell>
          <cell r="B4" t="str">
            <v>000097</v>
          </cell>
          <cell r="C4" t="str">
            <v>501</v>
          </cell>
          <cell r="E4" t="str">
            <v>511</v>
          </cell>
          <cell r="F4" t="str">
            <v>расчеты</v>
          </cell>
          <cell r="G4">
            <v>9000</v>
          </cell>
          <cell r="H4" t="str">
            <v>Получено из банка в кассу по чеку N 5725592</v>
          </cell>
        </row>
        <row r="5">
          <cell r="A5">
            <v>37242</v>
          </cell>
          <cell r="B5" t="str">
            <v>000098</v>
          </cell>
          <cell r="C5" t="str">
            <v>501</v>
          </cell>
          <cell r="E5" t="str">
            <v>511</v>
          </cell>
          <cell r="F5" t="str">
            <v>расчеты</v>
          </cell>
          <cell r="G5">
            <v>3000</v>
          </cell>
          <cell r="H5" t="str">
            <v>Получено из банка в кассу по чеку N 5725593</v>
          </cell>
        </row>
        <row r="6">
          <cell r="A6">
            <v>37252</v>
          </cell>
          <cell r="B6" t="str">
            <v>000100</v>
          </cell>
          <cell r="C6" t="str">
            <v>501</v>
          </cell>
          <cell r="E6" t="str">
            <v>511</v>
          </cell>
          <cell r="F6" t="str">
            <v>расчеты</v>
          </cell>
          <cell r="G6">
            <v>2000</v>
          </cell>
          <cell r="H6" t="str">
            <v>Получено из банка в кассу по чеку N 5725596</v>
          </cell>
        </row>
        <row r="7">
          <cell r="A7">
            <v>37253</v>
          </cell>
          <cell r="B7" t="str">
            <v>000101</v>
          </cell>
          <cell r="C7" t="str">
            <v>501</v>
          </cell>
          <cell r="E7" t="str">
            <v>511</v>
          </cell>
          <cell r="F7" t="str">
            <v>расчеты</v>
          </cell>
          <cell r="G7">
            <v>24608</v>
          </cell>
          <cell r="H7" t="str">
            <v>Получено из банка в кассу по чеку N 5725597</v>
          </cell>
        </row>
        <row r="8">
          <cell r="A8">
            <v>37244</v>
          </cell>
          <cell r="B8" t="str">
            <v>000099</v>
          </cell>
          <cell r="C8" t="str">
            <v>501</v>
          </cell>
          <cell r="E8" t="str">
            <v>511</v>
          </cell>
          <cell r="F8" t="str">
            <v>расчеты</v>
          </cell>
          <cell r="G8">
            <v>9000</v>
          </cell>
          <cell r="H8" t="str">
            <v>Получено из банка в кассу по чеку N 5725595</v>
          </cell>
        </row>
        <row r="9">
          <cell r="A9">
            <v>37253</v>
          </cell>
          <cell r="B9" t="str">
            <v>000102</v>
          </cell>
          <cell r="C9" t="str">
            <v>501</v>
          </cell>
          <cell r="E9" t="str">
            <v>711</v>
          </cell>
          <cell r="F9" t="str">
            <v>хоз</v>
          </cell>
          <cell r="G9">
            <v>4066.05</v>
          </cell>
          <cell r="H9" t="str">
            <v>Возврат подотчетных сумм</v>
          </cell>
        </row>
        <row r="10">
          <cell r="A10">
            <v>37253</v>
          </cell>
          <cell r="B10" t="str">
            <v>000103</v>
          </cell>
          <cell r="C10" t="str">
            <v>501</v>
          </cell>
          <cell r="E10" t="str">
            <v>711</v>
          </cell>
          <cell r="F10" t="str">
            <v>хоз</v>
          </cell>
          <cell r="G10">
            <v>500</v>
          </cell>
          <cell r="H10" t="str">
            <v>Возврат подотчетных сумм</v>
          </cell>
        </row>
        <row r="11">
          <cell r="A11">
            <v>37228</v>
          </cell>
          <cell r="B11" t="str">
            <v>000094</v>
          </cell>
          <cell r="C11" t="str">
            <v>501</v>
          </cell>
          <cell r="E11" t="str">
            <v>511</v>
          </cell>
          <cell r="F11" t="str">
            <v>расчеты</v>
          </cell>
          <cell r="G11">
            <v>32066</v>
          </cell>
          <cell r="H11" t="str">
            <v>Получено из банка в кассу по чеку N 5725589</v>
          </cell>
        </row>
        <row r="12">
          <cell r="A12">
            <v>37253</v>
          </cell>
          <cell r="B12" t="str">
            <v>000173</v>
          </cell>
          <cell r="C12" t="str">
            <v>511</v>
          </cell>
          <cell r="E12" t="str">
            <v>501</v>
          </cell>
          <cell r="F12" t="str">
            <v>расчеты</v>
          </cell>
          <cell r="H12" t="str">
            <v>Сдано в банк по объявлению N 205</v>
          </cell>
          <cell r="I12">
            <v>4566.05</v>
          </cell>
        </row>
        <row r="13">
          <cell r="A13">
            <v>37228</v>
          </cell>
          <cell r="B13" t="str">
            <v>0162/1</v>
          </cell>
          <cell r="C13" t="str">
            <v>511</v>
          </cell>
          <cell r="E13" t="str">
            <v>501</v>
          </cell>
          <cell r="F13" t="str">
            <v>расчеты</v>
          </cell>
          <cell r="H13" t="str">
            <v>Возврат подотчетных сумм по объявлению № 203</v>
          </cell>
          <cell r="I13">
            <v>5000</v>
          </cell>
        </row>
        <row r="14">
          <cell r="A14">
            <v>37228</v>
          </cell>
          <cell r="B14" t="str">
            <v>000162</v>
          </cell>
          <cell r="C14" t="str">
            <v>70</v>
          </cell>
          <cell r="E14" t="str">
            <v>501</v>
          </cell>
          <cell r="F14" t="str">
            <v>з-п</v>
          </cell>
          <cell r="H14" t="str">
            <v>Выдана заработная плата за ноябрь 2001г.</v>
          </cell>
          <cell r="I14">
            <v>32066</v>
          </cell>
        </row>
        <row r="15">
          <cell r="A15">
            <v>37253</v>
          </cell>
          <cell r="B15" t="str">
            <v>000172</v>
          </cell>
          <cell r="C15" t="str">
            <v>70</v>
          </cell>
          <cell r="E15" t="str">
            <v>501</v>
          </cell>
          <cell r="F15" t="str">
            <v>з-п</v>
          </cell>
          <cell r="H15" t="str">
            <v>Выдана заработная плата за декабрь 2001г.</v>
          </cell>
          <cell r="I15">
            <v>24608</v>
          </cell>
        </row>
        <row r="16">
          <cell r="A16">
            <v>37232</v>
          </cell>
          <cell r="B16" t="str">
            <v>000163</v>
          </cell>
          <cell r="C16" t="str">
            <v>711</v>
          </cell>
          <cell r="D16" t="str">
            <v>000001</v>
          </cell>
          <cell r="E16" t="str">
            <v>501</v>
          </cell>
          <cell r="F16" t="str">
            <v>хоз</v>
          </cell>
          <cell r="H16" t="str">
            <v>Выдано на хозяйственные нужды</v>
          </cell>
          <cell r="I16">
            <v>1149.02</v>
          </cell>
        </row>
        <row r="17">
          <cell r="A17">
            <v>37232</v>
          </cell>
          <cell r="B17" t="str">
            <v>000164</v>
          </cell>
          <cell r="C17" t="str">
            <v>711</v>
          </cell>
          <cell r="D17" t="str">
            <v>000005</v>
          </cell>
          <cell r="E17" t="str">
            <v>501</v>
          </cell>
          <cell r="F17" t="str">
            <v>хоз</v>
          </cell>
          <cell r="H17" t="str">
            <v>Выдано на хозяйственные нужды</v>
          </cell>
          <cell r="I17">
            <v>779.67</v>
          </cell>
        </row>
        <row r="18">
          <cell r="A18">
            <v>37232</v>
          </cell>
          <cell r="B18" t="str">
            <v>000165</v>
          </cell>
          <cell r="C18" t="str">
            <v>711</v>
          </cell>
          <cell r="D18" t="str">
            <v>000007</v>
          </cell>
          <cell r="E18" t="str">
            <v>501</v>
          </cell>
          <cell r="F18" t="str">
            <v>хоз</v>
          </cell>
          <cell r="H18" t="str">
            <v>Выдано на хозяйственные нужды</v>
          </cell>
          <cell r="I18">
            <v>421.31</v>
          </cell>
        </row>
        <row r="19">
          <cell r="A19">
            <v>37236</v>
          </cell>
          <cell r="B19" t="str">
            <v>000166</v>
          </cell>
          <cell r="C19" t="str">
            <v>711</v>
          </cell>
          <cell r="D19" t="str">
            <v>000005</v>
          </cell>
          <cell r="E19" t="str">
            <v>501</v>
          </cell>
          <cell r="F19" t="str">
            <v>хоз</v>
          </cell>
          <cell r="H19" t="str">
            <v>Выдано на хозяйственные нужды</v>
          </cell>
          <cell r="I19">
            <v>9000</v>
          </cell>
        </row>
        <row r="20">
          <cell r="A20">
            <v>37242</v>
          </cell>
          <cell r="B20" t="str">
            <v>000167</v>
          </cell>
          <cell r="C20" t="str">
            <v>711</v>
          </cell>
          <cell r="D20" t="str">
            <v>000008</v>
          </cell>
          <cell r="E20" t="str">
            <v>501</v>
          </cell>
          <cell r="F20" t="str">
            <v>хоз</v>
          </cell>
          <cell r="H20" t="str">
            <v>Выдано на хозяйственные нужды</v>
          </cell>
          <cell r="I20">
            <v>3000</v>
          </cell>
        </row>
        <row r="21">
          <cell r="A21">
            <v>37244</v>
          </cell>
          <cell r="B21" t="str">
            <v>000168</v>
          </cell>
          <cell r="C21" t="str">
            <v>711</v>
          </cell>
          <cell r="D21" t="str">
            <v>000008</v>
          </cell>
          <cell r="E21" t="str">
            <v>501</v>
          </cell>
          <cell r="F21" t="str">
            <v>хоз</v>
          </cell>
          <cell r="H21" t="str">
            <v>Выдано на хозяйственные нужды</v>
          </cell>
          <cell r="I21">
            <v>1000</v>
          </cell>
        </row>
        <row r="22">
          <cell r="A22">
            <v>37244</v>
          </cell>
          <cell r="B22" t="str">
            <v>000169</v>
          </cell>
          <cell r="C22" t="str">
            <v>711</v>
          </cell>
          <cell r="D22" t="str">
            <v>000005</v>
          </cell>
          <cell r="E22" t="str">
            <v>501</v>
          </cell>
          <cell r="F22" t="str">
            <v>ком</v>
          </cell>
          <cell r="H22" t="str">
            <v>Выдано на командировочные расходы</v>
          </cell>
          <cell r="I22">
            <v>8000</v>
          </cell>
        </row>
        <row r="23">
          <cell r="A23">
            <v>37252</v>
          </cell>
          <cell r="B23" t="str">
            <v>000170</v>
          </cell>
          <cell r="C23" t="str">
            <v>711</v>
          </cell>
          <cell r="D23" t="str">
            <v>000008</v>
          </cell>
          <cell r="E23" t="str">
            <v>501</v>
          </cell>
          <cell r="F23" t="str">
            <v>хоз</v>
          </cell>
          <cell r="H23" t="str">
            <v>Выдано на хозяйственные нужды</v>
          </cell>
          <cell r="I23">
            <v>677.24</v>
          </cell>
        </row>
        <row r="24">
          <cell r="A24">
            <v>37252</v>
          </cell>
          <cell r="B24" t="str">
            <v>000171</v>
          </cell>
          <cell r="C24" t="str">
            <v>711</v>
          </cell>
          <cell r="D24" t="str">
            <v>000005</v>
          </cell>
          <cell r="E24" t="str">
            <v>501</v>
          </cell>
          <cell r="F24" t="str">
            <v>хоз</v>
          </cell>
          <cell r="H24" t="str">
            <v>Выдано на хозяйственные нужды</v>
          </cell>
          <cell r="I24">
            <v>1322.76</v>
          </cell>
        </row>
      </sheetData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 2005"/>
      <sheetName val="свод"/>
      <sheetName val="Зак.1"/>
      <sheetName val="Зак.2"/>
      <sheetName val="МФТЦ"/>
      <sheetName val="проч"/>
      <sheetName val="ВводД"/>
      <sheetName val="СПИСОК"/>
      <sheetName val="ФС+"/>
      <sheetName val="Гр+"/>
      <sheetName val="Ср-сд"/>
      <sheetName val="Об"/>
      <sheetName val="Сводная ЛССМУ"/>
      <sheetName val="ТИТУЛЬНЫЙ_ЛИСТ_2005"/>
      <sheetName val="Зак_1"/>
      <sheetName val="Зак_2"/>
      <sheetName val="Сводная_ЛССМУ"/>
      <sheetName val="ТИТУЛЬНЫЙ_ЛИСТ_20051"/>
      <sheetName val="Зак_11"/>
      <sheetName val="Зак_21"/>
      <sheetName val="Сводная_ЛССМУ1"/>
      <sheetName val="ТИТУЛЬНЫЙ_ЛИСТ_20052"/>
      <sheetName val="Зак_12"/>
      <sheetName val="Зак_22"/>
      <sheetName val="Сводная_ЛССМУ2"/>
      <sheetName val="ТИТУЛЬНЫЙ_ЛИСТ_20053"/>
      <sheetName val="Зак_13"/>
      <sheetName val="Зак_23"/>
      <sheetName val="Сводная_ЛССМУ3"/>
      <sheetName val="Справочник"/>
      <sheetName val="лист4"/>
      <sheetName val="fitoutconfcentre"/>
      <sheetName val="Лист1-ЛССМУ"/>
      <sheetName val="Оплата по графикам"/>
      <sheetName val="Список Группы"/>
      <sheetName val="План МСФО счетов"/>
      <sheetName val="Параметры"/>
      <sheetName val="Breakdown CAPEX (PBC)"/>
      <sheetName val="реализация площадей на 29.12.11"/>
      <sheetName val="Narratives-Subsidiarie"/>
      <sheetName val="Лист1"/>
      <sheetName val="sр+"/>
      <sheetName val="inputs"/>
      <sheetName val="comps"/>
      <sheetName val="natl consult reg."/>
      <sheetName val="cur_projects pl"/>
      <sheetName val="баланс"/>
      <sheetName val="Master Input Sheet Start Here"/>
      <sheetName val="Расчет выручки"/>
      <sheetName val="CapEx_Depr"/>
      <sheetName val="WorkCap"/>
      <sheetName val="HBS"/>
      <sheetName val="HIS"/>
      <sheetName val="HIS initial"/>
      <sheetName val="Assets"/>
      <sheetName val="Liab"/>
      <sheetName val="Таблица"/>
      <sheetName val="1.1 Inputs"/>
      <sheetName val="Черновик"/>
      <sheetName val="импортеры99"/>
      <sheetName val="импортеры96"/>
      <sheetName val="импортеры97"/>
      <sheetName val="Summary"/>
      <sheetName val="mex95ib"/>
      <sheetName val="Цены СНГ"/>
      <sheetName val="Forecast"/>
      <sheetName val="revenue"/>
      <sheetName val="POW"/>
      <sheetName val="Данные по очереди"/>
      <sheetName val="Данные по проекту"/>
      <sheetName val="rates"/>
      <sheetName val="AOP Summary-2"/>
      <sheetName val="TABLO-3"/>
      <sheetName val="рт2опервнерел"/>
      <sheetName val="10"/>
      <sheetName val="5"/>
      <sheetName val="14"/>
      <sheetName val="Нар.водопр."/>
      <sheetName val="Нар.освещение"/>
      <sheetName val="подкл.баш.крана"/>
      <sheetName val="Стоимости"/>
      <sheetName val="Z"/>
      <sheetName val="Cash2"/>
      <sheetName val="Аллокация затрат Комов"/>
      <sheetName val="Сводный-затраты"/>
      <sheetName val="input data"/>
      <sheetName val="кампания 2014 г."/>
      <sheetName val="ТИТУЛЬНЫЙ_ЛИСТ_20054"/>
      <sheetName val="Зак_14"/>
      <sheetName val="Зак_24"/>
      <sheetName val="Сводная_ЛССМУ4"/>
      <sheetName val="Оплата_по_графикам"/>
      <sheetName val="Список_Группы"/>
      <sheetName val="План_МСФО_счетов"/>
      <sheetName val="реализация_площадей_на_29_12_11"/>
      <sheetName val="Breakdown_CAPEX_(PBC)"/>
      <sheetName val="Master_Input_Sheet_Start_Here"/>
      <sheetName val="Расчет_выручки"/>
      <sheetName val="HIS_initial"/>
      <sheetName val="1_1_Inputs"/>
      <sheetName val="natl_consult_reg_"/>
      <sheetName val="cur_projects_pl"/>
      <sheetName val="Цены_СНГ"/>
      <sheetName val="текущие"/>
      <sheetName val="перечис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C1">
            <v>0.36</v>
          </cell>
          <cell r="E1">
            <v>0.64</v>
          </cell>
          <cell r="M1">
            <v>0.05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ходный"/>
      <sheetName val="Характеристика"/>
      <sheetName val="Аналоги  и расчет_Земля"/>
      <sheetName val="котировки"/>
      <sheetName val="ставка капитализации"/>
      <sheetName val="ЗП"/>
      <sheetName val="К!!!"/>
      <sheetName val="Затраты на реконструкцию"/>
      <sheetName val="сравнительный"/>
      <sheetName val="ДП (Ар_Офис)"/>
      <sheetName val="ДДП (Итог)"/>
      <sheetName val="согласование результатов"/>
      <sheetName val="Лист1"/>
      <sheetName val="Лист2"/>
      <sheetName val="Лист3"/>
      <sheetName val="Лист4"/>
    </sheetNames>
    <sheetDataSet>
      <sheetData sheetId="0"/>
      <sheetData sheetId="1">
        <row r="2">
          <cell r="D2">
            <v>25.393799999999999</v>
          </cell>
        </row>
        <row r="37">
          <cell r="B37">
            <v>15856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"/>
      <sheetName val="26 корпус"/>
      <sheetName val="Долгоживущие"/>
      <sheetName val="#REF"/>
      <sheetName val="#ССЫЛКА"/>
      <sheetName val="ЛитБ"/>
      <sheetName val="Исходные"/>
      <sheetName val="Общая"/>
      <sheetName val="RENT ROLL"/>
      <sheetName val="COVER"/>
      <sheetName val="свед"/>
      <sheetName val="Параметры"/>
      <sheetName val="Константы"/>
      <sheetName val="ТЭП гостиница"/>
      <sheetName val="Исх_данные"/>
      <sheetName val="исход-итог"/>
      <sheetName val="Glossary"/>
      <sheetName val="Спис_Объекты_недв"/>
      <sheetName val="общее"/>
      <sheetName val="общие сведения"/>
      <sheetName val="Balance Sheet"/>
      <sheetName val="восст"/>
      <sheetName val="затр_подх"/>
      <sheetName val="Метод остатка"/>
      <sheetName val="Инвест-пр1"/>
      <sheetName val="Инвест-пр4"/>
      <sheetName val="Sheet2"/>
      <sheetName val="РабочийД"/>
      <sheetName val="з_колп_универс_02_Сморгонский"/>
      <sheetName val="Brif_zdanie"/>
      <sheetName val="Содержание"/>
      <sheetName val="НФИк"/>
      <sheetName val="General inputs"/>
      <sheetName val="База"/>
      <sheetName val="Данные для расчета"/>
      <sheetName val="Исходные данные"/>
      <sheetName val="Сибнефть"/>
      <sheetName val="Усинск_Роснефть"/>
      <sheetName val="Группы"/>
      <sheetName val="Справочники"/>
      <sheetName val="Income Statement"/>
      <sheetName val="(аренда_потом_торг)"/>
      <sheetName val="1"/>
      <sheetName val="Свод"/>
      <sheetName val=""/>
      <sheetName val="Служебный"/>
      <sheetName val="Rent Assumptions"/>
      <sheetName val="05г."/>
      <sheetName val="Текст"/>
      <sheetName val="проекты-помесячно вн.рынок"/>
      <sheetName val="d"/>
      <sheetName val="СРЗУ"/>
      <sheetName val="ликвидность"/>
      <sheetName val="Balance"/>
      <sheetName val="ЗП"/>
      <sheetName val="Итоги"/>
      <sheetName val="ЗУ_торг"/>
      <sheetName val="VFI"/>
      <sheetName val="LTRate"/>
      <sheetName val="Ки"/>
      <sheetName val="Regions"/>
      <sheetName val="Tab1"/>
      <sheetName val="Tab2-X"/>
      <sheetName val="Tab2-1"/>
      <sheetName val="Tab3"/>
      <sheetName val="CAD"/>
      <sheetName val="себ"/>
      <sheetName val="графики"/>
      <sheetName val="ф2"/>
      <sheetName val="ф1"/>
      <sheetName val="дебкред"/>
      <sheetName val="ФХД"/>
      <sheetName val="actives"/>
      <sheetName val="Заголовок"/>
      <sheetName val="Аналоги аренда"/>
      <sheetName val="cons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дания"/>
      <sheetName val="УПСС"/>
      <sheetName val="SDC"/>
      <sheetName val="К"/>
      <sheetName val="Кдев"/>
      <sheetName val="ПВС"/>
      <sheetName val="Износ"/>
      <sheetName val="Земля аналоги"/>
      <sheetName val="Земля расчет"/>
      <sheetName val="Корректировка"/>
      <sheetName val="Затратный подход"/>
      <sheetName val="Доходный"/>
      <sheetName val="Ставка дисконтирования"/>
      <sheetName val="Согласование"/>
      <sheetName val="ликв"/>
    </sheetNames>
    <sheetDataSet>
      <sheetData sheetId="0">
        <row r="7">
          <cell r="B7">
            <v>7139.4</v>
          </cell>
        </row>
        <row r="8">
          <cell r="B8">
            <v>3</v>
          </cell>
        </row>
        <row r="9">
          <cell r="B9">
            <v>28867.31</v>
          </cell>
        </row>
        <row r="10">
          <cell r="B10">
            <v>1806.1</v>
          </cell>
        </row>
        <row r="11">
          <cell r="B11" t="str">
            <v>4 + тех.этаж</v>
          </cell>
        </row>
        <row r="12">
          <cell r="B12">
            <v>1700.1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B1">
            <v>26.9025</v>
          </cell>
        </row>
      </sheetData>
      <sheetData sheetId="12"/>
      <sheetData sheetId="13"/>
      <sheetData sheetId="14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=&gt;"/>
      <sheetName val="ВГО"/>
      <sheetName val="ТЗ"/>
      <sheetName val="Вложения"/>
      <sheetName val="Расч.листы=&gt;"/>
      <sheetName val="ДК_корр"/>
      <sheetName val="Исх.инфо=&gt;"/>
      <sheetName val="ДК_исх"/>
      <sheetName val="шаблоны=&gt;"/>
      <sheetName val="расш_ББ_1"/>
      <sheetName val="расш_ББ_2"/>
      <sheetName val="расш доходов"/>
      <sheetName val="расш расходов"/>
      <sheetName val="шифры к ББ"/>
      <sheetName val="шифры к д и р"/>
      <sheetName val="Справочни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5">
          <cell r="B15" t="str">
            <v>земля (сдаваемая в аренду)</v>
          </cell>
          <cell r="C15">
            <v>1110</v>
          </cell>
        </row>
        <row r="16">
          <cell r="B16" t="str">
            <v>земля (занимаемая с целью основного производства)</v>
          </cell>
          <cell r="C16">
            <v>1150</v>
          </cell>
        </row>
        <row r="17">
          <cell r="B17" t="str">
            <v>здания (сдаваемые в аренду)</v>
          </cell>
          <cell r="C17">
            <v>1160</v>
          </cell>
        </row>
        <row r="18">
          <cell r="B18" t="str">
            <v>здания (занимаемые с целью основного производства)</v>
          </cell>
          <cell r="C18">
            <v>1210</v>
          </cell>
        </row>
        <row r="19">
          <cell r="B19" t="str">
            <v>оборудование и транспорт</v>
          </cell>
        </row>
        <row r="20">
          <cell r="B20" t="str">
            <v>оборудование и транспорт переданные в лизинг</v>
          </cell>
        </row>
        <row r="21">
          <cell r="B21" t="str">
            <v>инвестиции в строительство и производство</v>
          </cell>
        </row>
        <row r="22">
          <cell r="B22" t="str">
            <v>инвестиции в строительство недвижимости, временно неиспользуемой в основной деятельности</v>
          </cell>
        </row>
        <row r="23">
          <cell r="B23" t="str">
            <v>незавершенное строительство</v>
          </cell>
        </row>
        <row r="24">
          <cell r="B24" t="str">
            <v>нематериальные активы</v>
          </cell>
        </row>
        <row r="25">
          <cell r="B25" t="str">
            <v>внеоборотные запасы</v>
          </cell>
        </row>
        <row r="26">
          <cell r="B26" t="str">
            <v>запасы</v>
          </cell>
        </row>
      </sheetData>
      <sheetData sheetId="10">
        <row r="16">
          <cell r="B16" t="str">
            <v>депозиты в банках</v>
          </cell>
        </row>
      </sheetData>
      <sheetData sheetId="11">
        <row r="13">
          <cell r="B13" t="str">
            <v>% к получению от банков</v>
          </cell>
          <cell r="C13">
            <v>2110</v>
          </cell>
        </row>
        <row r="14">
          <cell r="B14" t="str">
            <v>% к получению от прочих организаций</v>
          </cell>
          <cell r="C14">
            <v>2310</v>
          </cell>
        </row>
        <row r="15">
          <cell r="B15" t="str">
            <v>Доходы от продажи акций (кроме акций дочерних компаний) и облигаций</v>
          </cell>
          <cell r="C15">
            <v>2320</v>
          </cell>
        </row>
        <row r="16">
          <cell r="B16" t="str">
            <v>Доходы от операций в иностранной валюте</v>
          </cell>
          <cell r="C16">
            <v>2340</v>
          </cell>
        </row>
        <row r="17">
          <cell r="B17" t="str">
            <v>Доходы от переоценки иностранной валюты</v>
          </cell>
        </row>
        <row r="18">
          <cell r="B18" t="str">
            <v>Штрафы, пени, неустойки полученные</v>
          </cell>
        </row>
        <row r="19">
          <cell r="B19" t="str">
            <v>Продажа готовой продукци (выручка)</v>
          </cell>
        </row>
        <row r="20">
          <cell r="B20" t="str">
            <v>Доходы от сдачи имущества в аренду</v>
          </cell>
        </row>
        <row r="21">
          <cell r="B21" t="str">
            <v>Доходы от продажи долей участия в дочерних компаниях</v>
          </cell>
        </row>
        <row r="22">
          <cell r="B22" t="str">
            <v>Доходы по операциям с имуществом, полученным по договорам отступного, залога</v>
          </cell>
        </row>
        <row r="23">
          <cell r="B23" t="str">
            <v>Прочие доходы</v>
          </cell>
        </row>
        <row r="24">
          <cell r="B24" t="str">
            <v>Реализация права требования (доходы)</v>
          </cell>
        </row>
      </sheetData>
      <sheetData sheetId="12">
        <row r="13">
          <cell r="B13" t="str">
            <v>% к уплате банкам</v>
          </cell>
          <cell r="C13">
            <v>2120</v>
          </cell>
        </row>
        <row r="14">
          <cell r="B14" t="str">
            <v>% к уплате прочим организациям</v>
          </cell>
          <cell r="C14">
            <v>2210</v>
          </cell>
        </row>
        <row r="15">
          <cell r="B15" t="str">
            <v>За расчетное обслуживание и ведение банковских счетов</v>
          </cell>
          <cell r="C15">
            <v>2220</v>
          </cell>
        </row>
        <row r="16">
          <cell r="B16" t="str">
            <v>Расходы от продажи акций (кроме акций дочерних компаний) и облигаций</v>
          </cell>
          <cell r="C16">
            <v>2330</v>
          </cell>
        </row>
        <row r="17">
          <cell r="B17" t="str">
            <v>Расходы от операций в иностранной валюте</v>
          </cell>
          <cell r="C17">
            <v>2350</v>
          </cell>
        </row>
        <row r="18">
          <cell r="B18" t="str">
            <v>Расходы от переоценки иностранной валюты</v>
          </cell>
        </row>
        <row r="19">
          <cell r="B19" t="str">
            <v>Продажа готовой продукци (себестоимость)</v>
          </cell>
        </row>
        <row r="20">
          <cell r="B20" t="str">
            <v>Расходы от продажи долей участия в дочерних компаниях</v>
          </cell>
        </row>
        <row r="21">
          <cell r="B21" t="str">
            <v>Расходы по аренде</v>
          </cell>
        </row>
        <row r="22">
          <cell r="B22" t="str">
            <v>Амортизация основных средств, нематериальных активов</v>
          </cell>
        </row>
        <row r="23">
          <cell r="B23" t="str">
            <v>Расходы на охрану</v>
          </cell>
        </row>
        <row r="24">
          <cell r="B24" t="str">
            <v>Затраты на персонал</v>
          </cell>
        </row>
        <row r="25">
          <cell r="B25" t="str">
            <v>Расходы по налогам на заработную плату</v>
          </cell>
        </row>
        <row r="26">
          <cell r="B26" t="str">
            <v>Профессиональные услуги</v>
          </cell>
        </row>
        <row r="27">
          <cell r="B27" t="str">
            <v>Расходы на страхование</v>
          </cell>
        </row>
        <row r="28">
          <cell r="B28" t="str">
            <v>Реализация права требования (расходы)</v>
          </cell>
        </row>
        <row r="29">
          <cell r="B29" t="str">
            <v>Ремонт и эксплуатация основных средств</v>
          </cell>
        </row>
        <row r="30">
          <cell r="B30" t="str">
            <v>Информационные и телекоммуникационные услуги</v>
          </cell>
        </row>
        <row r="31">
          <cell r="B31" t="str">
            <v>Расходы по налогам (за исключения налога на прибыль и ЗП)</v>
          </cell>
        </row>
        <row r="32">
          <cell r="B32" t="str">
            <v>Штрафы, пени, неустойки уплаченные</v>
          </cell>
        </row>
        <row r="33">
          <cell r="B33" t="str">
            <v>Прочие расходы</v>
          </cell>
        </row>
      </sheetData>
      <sheetData sheetId="13"/>
      <sheetData sheetId="14"/>
      <sheetData sheetId="15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нотация"/>
      <sheetName val="Опросник"/>
      <sheetName val="Исходник"/>
    </sheetNames>
    <sheetDataSet>
      <sheetData sheetId="0"/>
      <sheetData sheetId="1"/>
      <sheetData sheetId="2">
        <row r="4">
          <cell r="R4" t="str">
            <v>Электроснабжение имеется</v>
          </cell>
          <cell r="S4" t="str">
            <v>Водоснабжение имеется</v>
          </cell>
        </row>
        <row r="5">
          <cell r="R5" t="str">
            <v>Электроснабжение отсутствует</v>
          </cell>
          <cell r="S5" t="str">
            <v>Водоснабжение отсутствует</v>
          </cell>
        </row>
        <row r="6">
          <cell r="R6" t="str">
            <v>-</v>
          </cell>
          <cell r="S6" t="str">
            <v>-</v>
          </cell>
        </row>
      </sheetData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лагоустр_"/>
      <sheetName val="земл"/>
      <sheetName val="ф-ты"/>
      <sheetName val="нар.отдел"/>
      <sheetName val="вн.от(стены)"/>
      <sheetName val="вн.от(потолки) ---"/>
      <sheetName val="вн.отдел ---"/>
      <sheetName val="лестницы !"/>
      <sheetName val="Смета~крыльцо"/>
      <sheetName val="м~констр."/>
      <sheetName val="благоустр."/>
      <sheetName val="полы !"/>
      <sheetName val="полы (по типам)"/>
      <sheetName val="проёмы ---"/>
      <sheetName val="перегородки ---"/>
      <sheetName val="стены"/>
      <sheetName val="разные"/>
      <sheetName val="перекрытия"/>
      <sheetName val="Акт ноя стр (буфет)"/>
      <sheetName val="кровля"/>
      <sheetName val="вн.от(полы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3"/>
      <sheetName val="4"/>
      <sheetName val="Параметры"/>
      <sheetName val="Корпуса"/>
      <sheetName val="Сводный-затраты"/>
      <sheetName val="План поступлений"/>
      <sheetName val="ПДДС-корпуса"/>
      <sheetName val="ПДР-корпуса"/>
      <sheetName val="ПДДС-сводный"/>
      <sheetName val="ПДР-сводный"/>
      <sheetName val="Печать"/>
      <sheetName val="Показатели"/>
      <sheetName val="План_поступлений"/>
      <sheetName val="План_поступлений1"/>
      <sheetName val="План_поступлений2"/>
      <sheetName val="План_поступлений3"/>
      <sheetName val="Гр+"/>
      <sheetName val="ВводД"/>
      <sheetName val="Narratives-Subsidiarie"/>
      <sheetName val="Rent"/>
      <sheetName val="лист4"/>
      <sheetName val="cur_projects pl"/>
      <sheetName val="input data"/>
      <sheetName val="sараметры"/>
      <sheetName val="Черновик"/>
      <sheetName val="Cash2"/>
      <sheetName val="Z"/>
      <sheetName val="lob"/>
      <sheetName val="заявка"/>
      <sheetName val="Вводы и передача"/>
      <sheetName val="Сводная ЛССМУ"/>
      <sheetName val="Итог по НПО "/>
      <sheetName val="Таблица"/>
      <sheetName val="Summary"/>
      <sheetName val="Read me first"/>
      <sheetName val="GLC_ratios_Jun"/>
      <sheetName val="inputs"/>
      <sheetName val="Затр с инфл (с инж)"/>
      <sheetName val="План_поступлений4"/>
      <sheetName val="cur_projects_pl"/>
      <sheetName val="input_data"/>
      <sheetName val="Вводы_и_передача"/>
      <sheetName val="Сводная_ЛССМУ"/>
      <sheetName val="Итог_по_НПО_"/>
      <sheetName val="Read_me_first"/>
      <sheetName val="Состав Группы"/>
      <sheetName val="KFI "/>
      <sheetName val="assump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Анализ"/>
      <sheetName val="AOP Summary-2"/>
      <sheetName val="POW"/>
      <sheetName val="comps"/>
      <sheetName val="Лист1-ЛССМУ"/>
      <sheetName val="№1_Отчет о реализации площадей"/>
      <sheetName val="Breakdown CAPEX (PBC)"/>
      <sheetName val="C.1.D.1.РСП"/>
      <sheetName val="oil "/>
      <sheetName val="beer"/>
      <sheetName val="mobile "/>
      <sheetName val="energy "/>
      <sheetName val="metal "/>
      <sheetName val="telecom "/>
      <sheetName val="airlines"/>
      <sheetName val="oil-shipping"/>
      <sheetName val="banking"/>
      <sheetName val="consumer&amp;retail"/>
      <sheetName val="Scenar"/>
      <sheetName val="РС котлован"/>
      <sheetName val="Лист5"/>
      <sheetName val="Р1"/>
      <sheetName val="finansal tamamlanma eğrisi"/>
      <sheetName val="cost-tz"/>
      <sheetName val="Assumptions"/>
      <sheetName val="siva"/>
      <sheetName val="Входные параметры"/>
      <sheetName val="бюджет-смольный2"/>
      <sheetName val="Май"/>
      <sheetName val="060127"/>
      <sheetName val="Новая КС"/>
      <sheetName val="План_поступлений5"/>
      <sheetName val="cur_projects_pl1"/>
      <sheetName val="input_data1"/>
      <sheetName val="Вводы_и_передача1"/>
      <sheetName val="Сводная_ЛССМУ1"/>
      <sheetName val="Итог_по_НПО_1"/>
      <sheetName val="Read_me_first1"/>
      <sheetName val="AOP_Summary-2"/>
      <sheetName val="Состав_Группы"/>
      <sheetName val="KFI_"/>
      <sheetName val="Затр_с_инфл_(с_инж)"/>
      <sheetName val="Контрагенты"/>
      <sheetName val="Справочник"/>
      <sheetName val="список квартир"/>
      <sheetName val="оплата по графикам"/>
      <sheetName val="Предпосылки"/>
      <sheetName val="Analitics"/>
      <sheetName val="1.Список"/>
      <sheetName val="Векселя"/>
      <sheetName val="Карта"/>
      <sheetName val="Касса"/>
      <sheetName val="Р_счет"/>
      <sheetName val="План_поступлений6"/>
      <sheetName val="Сводная_ЛССМУ2"/>
      <sheetName val="cur_projects_pl2"/>
      <sheetName val="input_data2"/>
      <sheetName val="Вводы_и_передача2"/>
      <sheetName val="Итог_по_НПО_2"/>
      <sheetName val="Read_me_first2"/>
      <sheetName val="AOP_Summary-21"/>
      <sheetName val="Состав_Группы1"/>
      <sheetName val="KFI_1"/>
      <sheetName val="Затр_с_инфл_(с_инж)1"/>
      <sheetName val="№1_Отчет_о_реализации_площадей"/>
      <sheetName val="Breakdown_CAPEX_(PBC)"/>
      <sheetName val="C_1_D_1_РСП"/>
      <sheetName val="oil_"/>
      <sheetName val="mobile_"/>
      <sheetName val="energy_"/>
      <sheetName val="metal_"/>
      <sheetName val="telecom_"/>
      <sheetName val="Входные_параметры"/>
      <sheetName val="Новая_КС"/>
      <sheetName val="Справочники"/>
    </sheetNames>
    <sheetDataSet>
      <sheetData sheetId="0"/>
      <sheetData sheetId="1"/>
      <sheetData sheetId="2"/>
      <sheetData sheetId="3">
        <row r="10">
          <cell r="B10">
            <v>40</v>
          </cell>
        </row>
      </sheetData>
      <sheetData sheetId="4" refreshError="1">
        <row r="10">
          <cell r="B10">
            <v>40</v>
          </cell>
        </row>
        <row r="11">
          <cell r="B11">
            <v>25</v>
          </cell>
        </row>
        <row r="12">
          <cell r="B12">
            <v>25000</v>
          </cell>
        </row>
        <row r="13">
          <cell r="B13">
            <v>0.85</v>
          </cell>
        </row>
        <row r="14">
          <cell r="B14">
            <v>0.9</v>
          </cell>
        </row>
        <row r="24">
          <cell r="B24">
            <v>222</v>
          </cell>
        </row>
        <row r="33">
          <cell r="B33">
            <v>0.06</v>
          </cell>
        </row>
        <row r="34">
          <cell r="B34">
            <v>0.18</v>
          </cell>
        </row>
        <row r="35">
          <cell r="B35">
            <v>0.03</v>
          </cell>
        </row>
        <row r="36">
          <cell r="B36">
            <v>0.2</v>
          </cell>
        </row>
      </sheetData>
      <sheetData sheetId="5">
        <row r="3">
          <cell r="C3">
            <v>100604.08</v>
          </cell>
        </row>
      </sheetData>
      <sheetData sheetId="6" refreshError="1">
        <row r="3">
          <cell r="C3">
            <v>100604.08</v>
          </cell>
        </row>
      </sheetData>
      <sheetData sheetId="7">
        <row r="3">
          <cell r="C3">
            <v>100604.08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 refreshError="1"/>
      <sheetData sheetId="62"/>
      <sheetData sheetId="63" refreshError="1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 refreshError="1"/>
      <sheetData sheetId="79"/>
      <sheetData sheetId="80"/>
      <sheetData sheetId="8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>
        <row r="3">
          <cell r="C3">
            <v>100604.08</v>
          </cell>
        </row>
      </sheetData>
      <sheetData sheetId="90"/>
      <sheetData sheetId="91">
        <row r="3">
          <cell r="C3">
            <v>100604.08</v>
          </cell>
        </row>
      </sheetData>
      <sheetData sheetId="92"/>
      <sheetData sheetId="93"/>
      <sheetData sheetId="94"/>
      <sheetData sheetId="95">
        <row r="3">
          <cell r="C3">
            <v>100604.08</v>
          </cell>
        </row>
      </sheetData>
      <sheetData sheetId="96"/>
      <sheetData sheetId="97">
        <row r="3">
          <cell r="C3">
            <v>100604.08</v>
          </cell>
        </row>
      </sheetData>
      <sheetData sheetId="98"/>
      <sheetData sheetId="99"/>
      <sheetData sheetId="100"/>
      <sheetData sheetId="10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>
        <row r="3">
          <cell r="C3">
            <v>100604.08</v>
          </cell>
        </row>
      </sheetData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r@etalongroup.co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280468-2772-458D-B763-A2251804319E}">
  <dimension ref="A1:L31"/>
  <sheetViews>
    <sheetView showGridLines="0" topLeftCell="A7" zoomScaleNormal="100" workbookViewId="0">
      <selection activeCell="C24" sqref="C24"/>
    </sheetView>
  </sheetViews>
  <sheetFormatPr defaultColWidth="0" defaultRowHeight="15" zeroHeight="1" x14ac:dyDescent="0.25"/>
  <cols>
    <col min="1" max="1" width="9.140625" customWidth="1"/>
    <col min="2" max="2" width="78.140625" bestFit="1" customWidth="1"/>
    <col min="3" max="12" width="9.140625" customWidth="1"/>
    <col min="13" max="16384" width="9.140625" hidden="1"/>
  </cols>
  <sheetData>
    <row r="1" spans="2:8" x14ac:dyDescent="0.25"/>
    <row r="2" spans="2:8" x14ac:dyDescent="0.25"/>
    <row r="3" spans="2:8" x14ac:dyDescent="0.25"/>
    <row r="4" spans="2:8" x14ac:dyDescent="0.25"/>
    <row r="5" spans="2:8" ht="18" x14ac:dyDescent="0.25">
      <c r="H5" s="51" t="s">
        <v>33</v>
      </c>
    </row>
    <row r="6" spans="2:8" ht="15.75" x14ac:dyDescent="0.25">
      <c r="H6" s="52" t="s">
        <v>8</v>
      </c>
    </row>
    <row r="7" spans="2:8" x14ac:dyDescent="0.25"/>
    <row r="8" spans="2:8" x14ac:dyDescent="0.25"/>
    <row r="9" spans="2:8" x14ac:dyDescent="0.25"/>
    <row r="10" spans="2:8" x14ac:dyDescent="0.25"/>
    <row r="11" spans="2:8" ht="30" x14ac:dyDescent="0.4">
      <c r="B11" s="53" t="s">
        <v>34</v>
      </c>
      <c r="C11" s="38"/>
      <c r="D11" s="38"/>
      <c r="E11" s="38"/>
      <c r="F11" s="38"/>
      <c r="G11" s="38"/>
      <c r="H11" s="38"/>
    </row>
    <row r="12" spans="2:8" ht="20.25" x14ac:dyDescent="0.25">
      <c r="B12" s="54" t="s">
        <v>9</v>
      </c>
      <c r="C12" s="38"/>
      <c r="D12" s="38"/>
      <c r="F12" s="38"/>
      <c r="G12" s="38"/>
    </row>
    <row r="13" spans="2:8" ht="23.25" x14ac:dyDescent="0.35">
      <c r="B13" s="58" t="s">
        <v>35</v>
      </c>
      <c r="C13" s="166" t="s">
        <v>10</v>
      </c>
      <c r="E13" s="55"/>
      <c r="F13" s="38"/>
    </row>
    <row r="14" spans="2:8" x14ac:dyDescent="0.25">
      <c r="C14" s="38"/>
    </row>
    <row r="15" spans="2:8" ht="23.25" x14ac:dyDescent="0.35">
      <c r="B15" s="58" t="s">
        <v>36</v>
      </c>
      <c r="C15" s="38"/>
    </row>
    <row r="16" spans="2:8" x14ac:dyDescent="0.25">
      <c r="B16" s="56" t="s">
        <v>37</v>
      </c>
      <c r="C16" s="166" t="s">
        <v>10</v>
      </c>
    </row>
    <row r="17" spans="2:8" x14ac:dyDescent="0.25">
      <c r="B17" s="56" t="s">
        <v>38</v>
      </c>
      <c r="C17" s="166" t="s">
        <v>10</v>
      </c>
    </row>
    <row r="18" spans="2:8" x14ac:dyDescent="0.25">
      <c r="B18" s="56" t="s">
        <v>468</v>
      </c>
      <c r="C18" s="166" t="s">
        <v>10</v>
      </c>
      <c r="F18" s="38"/>
      <c r="H18" s="38"/>
    </row>
    <row r="19" spans="2:8" x14ac:dyDescent="0.25">
      <c r="B19" s="56" t="s">
        <v>39</v>
      </c>
      <c r="C19" s="166" t="s">
        <v>10</v>
      </c>
      <c r="F19" s="38"/>
      <c r="H19" s="38"/>
    </row>
    <row r="20" spans="2:8" x14ac:dyDescent="0.25"/>
    <row r="21" spans="2:8" ht="23.25" x14ac:dyDescent="0.35">
      <c r="B21" s="58" t="s">
        <v>40</v>
      </c>
    </row>
    <row r="22" spans="2:8" x14ac:dyDescent="0.25">
      <c r="B22" s="56" t="s">
        <v>42</v>
      </c>
      <c r="C22" s="166" t="s">
        <v>10</v>
      </c>
    </row>
    <row r="23" spans="2:8" x14ac:dyDescent="0.25">
      <c r="B23" s="56" t="s">
        <v>41</v>
      </c>
      <c r="C23" s="166" t="s">
        <v>10</v>
      </c>
    </row>
    <row r="24" spans="2:8" x14ac:dyDescent="0.25">
      <c r="B24" s="56" t="s">
        <v>43</v>
      </c>
      <c r="C24" s="166" t="s">
        <v>10</v>
      </c>
    </row>
    <row r="25" spans="2:8" ht="18" x14ac:dyDescent="0.25">
      <c r="H25" s="57"/>
    </row>
    <row r="26" spans="2:8" x14ac:dyDescent="0.25"/>
    <row r="27" spans="2:8" x14ac:dyDescent="0.25"/>
    <row r="28" spans="2:8" x14ac:dyDescent="0.25"/>
    <row r="29" spans="2:8" x14ac:dyDescent="0.25"/>
    <row r="30" spans="2:8" x14ac:dyDescent="0.25"/>
    <row r="31" spans="2:8" x14ac:dyDescent="0.25"/>
  </sheetData>
  <hyperlinks>
    <hyperlink ref="H6" r:id="rId1" xr:uid="{57C94E8A-03F1-4585-82FB-F47F9830677E}"/>
    <hyperlink ref="C16" location="'Операционные результаты'!A1" tooltip="wffee" display="&gt;&gt;" xr:uid="{3B585DCE-E6F0-4D6C-8968-48FA9A6D7EBD}"/>
    <hyperlink ref="C18" location="'Assets valuation 2023'!A1" tooltip="wffee" display="&gt;&gt;" xr:uid="{F4995EFF-802A-4FAE-9EC7-58E9BAA6C6CE}"/>
    <hyperlink ref="C19" location="ОФР!A47" tooltip="wffee" display="&gt;&gt;" xr:uid="{62FD9178-B516-43E6-AEAF-467C0A1EB7B5}"/>
    <hyperlink ref="C22" location="'Балансовый отчет'!A1" tooltip="wffee" display="&gt;&gt;" xr:uid="{BD7DB65C-166A-498D-B077-5D36F2DF03D9}"/>
    <hyperlink ref="C23" location="ОФР!A1" tooltip="wffee" display="&gt;&gt;" xr:uid="{C7CF6286-43BF-4447-B310-5F05B2C367B3}"/>
    <hyperlink ref="C24" location="ОДДС!A1" tooltip="wffee" display="&gt;&gt;" xr:uid="{835BAC53-06CC-441C-B94C-0D2799090942}"/>
    <hyperlink ref="C13" location="Обзор!A1" tooltip="wffee" display="&gt;&gt;" xr:uid="{A7F47DA2-FE6F-41CB-9FC6-CAED0BFDB594}"/>
    <hyperlink ref="C18" location="'Оценка активов 2024'!A1" tooltip="wffee" display="&gt;&gt;" xr:uid="{835EE55F-AD7E-473C-9378-5737336DE5FD}"/>
    <hyperlink ref="C17" location="'Операционные результаты'!A21" display="&gt;&gt;" xr:uid="{14D00513-EBC5-4EE8-8B0C-CC7B4FCDDB12}"/>
  </hyperlinks>
  <pageMargins left="1.4895833333333333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8A3169-1809-4894-A8F8-3BD32A977B5E}">
  <dimension ref="A1:P50"/>
  <sheetViews>
    <sheetView showGridLines="0" zoomScaleNormal="100" workbookViewId="0">
      <pane xSplit="1" topLeftCell="B1" activePane="topRight" state="frozen"/>
      <selection pane="topRight" activeCell="P46" sqref="P46:P48"/>
    </sheetView>
  </sheetViews>
  <sheetFormatPr defaultColWidth="9.140625" defaultRowHeight="14.25" x14ac:dyDescent="0.2"/>
  <cols>
    <col min="1" max="1" width="66.5703125" style="38" customWidth="1"/>
    <col min="2" max="2" width="12" style="5" customWidth="1"/>
    <col min="3" max="15" width="9.140625" style="5"/>
    <col min="16" max="16384" width="9.140625" style="38"/>
  </cols>
  <sheetData>
    <row r="1" spans="1:16" x14ac:dyDescent="0.2">
      <c r="A1" s="65"/>
      <c r="B1" s="9"/>
      <c r="C1" s="9"/>
      <c r="D1" s="9"/>
      <c r="E1" s="9"/>
      <c r="F1" s="9"/>
      <c r="G1" s="9"/>
      <c r="H1" s="9"/>
      <c r="I1" s="9"/>
      <c r="J1" s="9"/>
      <c r="K1" s="9"/>
      <c r="L1" s="9"/>
    </row>
    <row r="2" spans="1:16" ht="18" x14ac:dyDescent="0.25">
      <c r="A2" s="1" t="s">
        <v>35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</row>
    <row r="3" spans="1:16" ht="15" x14ac:dyDescent="0.25">
      <c r="A3" s="163" t="s">
        <v>44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</row>
    <row r="4" spans="1:16" x14ac:dyDescent="0.2">
      <c r="A4" s="66"/>
      <c r="B4" s="9"/>
      <c r="C4" s="9"/>
      <c r="D4" s="9"/>
      <c r="E4" s="9"/>
      <c r="F4" s="9"/>
      <c r="G4" s="9"/>
      <c r="H4" s="9"/>
      <c r="I4" s="9"/>
      <c r="J4" s="9"/>
      <c r="K4" s="9"/>
      <c r="L4" s="9"/>
    </row>
    <row r="5" spans="1:16" x14ac:dyDescent="0.2">
      <c r="A5" s="2"/>
      <c r="B5" s="103"/>
      <c r="C5" s="3">
        <v>2011</v>
      </c>
      <c r="D5" s="3">
        <v>2012</v>
      </c>
      <c r="E5" s="3">
        <v>2013</v>
      </c>
      <c r="F5" s="3">
        <v>2014</v>
      </c>
      <c r="G5" s="3">
        <v>2015</v>
      </c>
      <c r="H5" s="3">
        <v>2016</v>
      </c>
      <c r="I5" s="3">
        <v>2017</v>
      </c>
      <c r="J5" s="3">
        <v>2018</v>
      </c>
      <c r="K5" s="3">
        <v>2019</v>
      </c>
      <c r="L5" s="3">
        <v>2020</v>
      </c>
      <c r="M5" s="3">
        <v>2021</v>
      </c>
      <c r="N5" s="3">
        <v>2022</v>
      </c>
      <c r="O5" s="3">
        <v>2023</v>
      </c>
      <c r="P5" s="3">
        <v>2024</v>
      </c>
    </row>
    <row r="6" spans="1:16" x14ac:dyDescent="0.2">
      <c r="A6" s="4" t="s">
        <v>402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P6" s="5"/>
    </row>
    <row r="7" spans="1:16" x14ac:dyDescent="0.2">
      <c r="A7" s="5" t="s">
        <v>45</v>
      </c>
      <c r="B7" s="6" t="s">
        <v>57</v>
      </c>
      <c r="C7" s="7">
        <f>ОФР!B9</f>
        <v>22741</v>
      </c>
      <c r="D7" s="7">
        <f>ОФР!C9</f>
        <v>26894</v>
      </c>
      <c r="E7" s="7">
        <f>ОФР!D9</f>
        <v>39921</v>
      </c>
      <c r="F7" s="7">
        <f>ОФР!E9</f>
        <v>51481</v>
      </c>
      <c r="G7" s="7">
        <f>ОФР!F9</f>
        <v>42404</v>
      </c>
      <c r="H7" s="7">
        <f>ОФР!G9</f>
        <v>49022</v>
      </c>
      <c r="I7" s="7">
        <f>ОФР!H9</f>
        <v>70645</v>
      </c>
      <c r="J7" s="7">
        <f>ОФР!I9</f>
        <v>72327</v>
      </c>
      <c r="K7" s="7">
        <f>ОФР!J9</f>
        <v>84330</v>
      </c>
      <c r="L7" s="7">
        <f>ОФР!K9</f>
        <v>78655</v>
      </c>
      <c r="M7" s="7">
        <f>ОФР!L9</f>
        <v>87138</v>
      </c>
      <c r="N7" s="7">
        <v>80556</v>
      </c>
      <c r="O7" s="7">
        <f>90652</f>
        <v>90652</v>
      </c>
      <c r="P7" s="7">
        <f>130946</f>
        <v>130946</v>
      </c>
    </row>
    <row r="8" spans="1:16" x14ac:dyDescent="0.2">
      <c r="A8" s="5" t="s">
        <v>47</v>
      </c>
      <c r="B8" s="6" t="s">
        <v>57</v>
      </c>
      <c r="C8" s="7">
        <v>10853</v>
      </c>
      <c r="D8" s="7">
        <v>9400</v>
      </c>
      <c r="E8" s="7">
        <v>12368</v>
      </c>
      <c r="F8" s="7">
        <v>15796</v>
      </c>
      <c r="G8" s="7">
        <v>12999</v>
      </c>
      <c r="H8" s="7">
        <v>12209</v>
      </c>
      <c r="I8" s="7">
        <v>18001</v>
      </c>
      <c r="J8" s="7">
        <v>17055</v>
      </c>
      <c r="K8" s="7">
        <v>22735</v>
      </c>
      <c r="L8" s="7">
        <v>25796</v>
      </c>
      <c r="M8" s="67">
        <v>31041</v>
      </c>
      <c r="N8" s="67">
        <v>30514</v>
      </c>
      <c r="O8" s="67">
        <f>31261</f>
        <v>31261</v>
      </c>
      <c r="P8" s="67">
        <f>42425</f>
        <v>42425</v>
      </c>
    </row>
    <row r="9" spans="1:16" x14ac:dyDescent="0.2">
      <c r="A9" s="5" t="s">
        <v>46</v>
      </c>
      <c r="B9" s="6" t="s">
        <v>57</v>
      </c>
      <c r="C9" s="7">
        <f>ОФР!B17</f>
        <v>10853</v>
      </c>
      <c r="D9" s="7">
        <f>ОФР!C17</f>
        <v>9400</v>
      </c>
      <c r="E9" s="7">
        <f>ОФР!D17</f>
        <v>12368</v>
      </c>
      <c r="F9" s="7">
        <f>ОФР!E17</f>
        <v>15796</v>
      </c>
      <c r="G9" s="7">
        <f>ОФР!F17</f>
        <v>12999</v>
      </c>
      <c r="H9" s="7">
        <f>ОФР!G17</f>
        <v>12209</v>
      </c>
      <c r="I9" s="7">
        <f>ОФР!H17</f>
        <v>18001</v>
      </c>
      <c r="J9" s="7">
        <f>ОФР!I17</f>
        <v>17055</v>
      </c>
      <c r="K9" s="7">
        <f>ОФР!J17</f>
        <v>20057</v>
      </c>
      <c r="L9" s="7">
        <f>ОФР!K17</f>
        <v>21915</v>
      </c>
      <c r="M9" s="7">
        <f>ОФР!L17</f>
        <v>27782</v>
      </c>
      <c r="N9" s="7">
        <v>28203</v>
      </c>
      <c r="O9" s="7">
        <v>29971</v>
      </c>
      <c r="P9" s="7">
        <f>41378</f>
        <v>41378</v>
      </c>
    </row>
    <row r="10" spans="1:16" x14ac:dyDescent="0.2">
      <c r="A10" s="5" t="s">
        <v>0</v>
      </c>
      <c r="B10" s="6" t="s">
        <v>57</v>
      </c>
      <c r="C10" s="7">
        <v>8201</v>
      </c>
      <c r="D10" s="7">
        <v>6931</v>
      </c>
      <c r="E10" s="7">
        <v>9430</v>
      </c>
      <c r="F10" s="7">
        <v>10611</v>
      </c>
      <c r="G10" s="7">
        <v>7675</v>
      </c>
      <c r="H10" s="7">
        <v>7301</v>
      </c>
      <c r="I10" s="7">
        <v>14823</v>
      </c>
      <c r="J10" s="7">
        <v>6118</v>
      </c>
      <c r="K10" s="7">
        <v>11175</v>
      </c>
      <c r="L10" s="7">
        <v>16482</v>
      </c>
      <c r="M10" s="5">
        <f>ОФР!L58</f>
        <v>21139</v>
      </c>
      <c r="N10" s="61">
        <v>18795</v>
      </c>
      <c r="O10" s="61">
        <v>19425</v>
      </c>
      <c r="P10" s="61">
        <f>28693</f>
        <v>28693</v>
      </c>
    </row>
    <row r="11" spans="1:16" x14ac:dyDescent="0.2">
      <c r="A11" s="5" t="s">
        <v>1</v>
      </c>
      <c r="B11" s="6" t="s">
        <v>57</v>
      </c>
      <c r="C11" s="7">
        <v>8201</v>
      </c>
      <c r="D11" s="7">
        <v>6931</v>
      </c>
      <c r="E11" s="7">
        <v>9430</v>
      </c>
      <c r="F11" s="7">
        <v>10611</v>
      </c>
      <c r="G11" s="7">
        <v>7675</v>
      </c>
      <c r="H11" s="7">
        <v>7301</v>
      </c>
      <c r="I11" s="7">
        <v>14823</v>
      </c>
      <c r="J11" s="7">
        <v>6118</v>
      </c>
      <c r="K11" s="7">
        <v>8497</v>
      </c>
      <c r="L11" s="7">
        <v>12601</v>
      </c>
      <c r="M11" s="5">
        <f>ОФР!L56</f>
        <v>17880</v>
      </c>
      <c r="N11" s="61">
        <v>16484</v>
      </c>
      <c r="O11" s="61">
        <v>18135</v>
      </c>
      <c r="P11" s="61">
        <f>27646</f>
        <v>27646</v>
      </c>
    </row>
    <row r="12" spans="1:16" x14ac:dyDescent="0.2">
      <c r="A12" s="5" t="s">
        <v>48</v>
      </c>
      <c r="B12" s="6" t="s">
        <v>57</v>
      </c>
      <c r="C12" s="7">
        <f>ОФР!B34</f>
        <v>7440</v>
      </c>
      <c r="D12" s="7">
        <f>ОФР!C34</f>
        <v>5000</v>
      </c>
      <c r="E12" s="7">
        <f>ОФР!D34</f>
        <v>6664</v>
      </c>
      <c r="F12" s="7">
        <f>ОФР!E34</f>
        <v>8369</v>
      </c>
      <c r="G12" s="7">
        <f>ОФР!F34</f>
        <v>5429</v>
      </c>
      <c r="H12" s="7">
        <f>ОФР!G34</f>
        <v>4902</v>
      </c>
      <c r="I12" s="7">
        <f>ОФР!H34</f>
        <v>7893</v>
      </c>
      <c r="J12" s="7">
        <f>ОФР!I34</f>
        <v>-700</v>
      </c>
      <c r="K12" s="7">
        <f>ОФР!J34</f>
        <v>186</v>
      </c>
      <c r="L12" s="7">
        <f>ОФР!K34</f>
        <v>2036</v>
      </c>
      <c r="M12" s="7">
        <f>ОФР!L34</f>
        <v>3007</v>
      </c>
      <c r="N12" s="7">
        <v>13001</v>
      </c>
      <c r="O12" s="7">
        <v>-3370</v>
      </c>
      <c r="P12" s="7">
        <f>-6914</f>
        <v>-6914</v>
      </c>
    </row>
    <row r="13" spans="1:16" x14ac:dyDescent="0.2">
      <c r="A13" s="8"/>
      <c r="B13" s="6"/>
      <c r="C13" s="7"/>
      <c r="D13" s="7"/>
      <c r="E13" s="7"/>
      <c r="F13" s="7"/>
      <c r="G13" s="7"/>
      <c r="H13" s="7"/>
      <c r="I13" s="7"/>
      <c r="J13" s="7"/>
      <c r="K13" s="7"/>
      <c r="L13" s="7"/>
      <c r="P13" s="5"/>
    </row>
    <row r="14" spans="1:16" x14ac:dyDescent="0.2">
      <c r="A14" s="4" t="s">
        <v>49</v>
      </c>
      <c r="B14" s="9"/>
      <c r="C14" s="10"/>
      <c r="D14" s="10"/>
      <c r="E14" s="10"/>
      <c r="F14" s="10"/>
      <c r="G14" s="10"/>
      <c r="H14" s="10"/>
      <c r="I14" s="10"/>
      <c r="J14" s="10"/>
      <c r="K14" s="10"/>
      <c r="L14" s="10"/>
      <c r="P14" s="5"/>
    </row>
    <row r="15" spans="1:16" x14ac:dyDescent="0.2">
      <c r="A15" s="8" t="s">
        <v>50</v>
      </c>
      <c r="B15" s="6" t="s">
        <v>57</v>
      </c>
      <c r="C15" s="7">
        <v>10406</v>
      </c>
      <c r="D15" s="7">
        <v>16636</v>
      </c>
      <c r="E15" s="7">
        <v>13219</v>
      </c>
      <c r="F15" s="7">
        <v>16291</v>
      </c>
      <c r="G15" s="7">
        <v>19414</v>
      </c>
      <c r="H15" s="7">
        <v>18054</v>
      </c>
      <c r="I15" s="7">
        <v>23987</v>
      </c>
      <c r="J15" s="7">
        <v>20912</v>
      </c>
      <c r="K15" s="7">
        <v>52692</v>
      </c>
      <c r="L15" s="7">
        <v>50505</v>
      </c>
      <c r="M15" s="7">
        <v>83438</v>
      </c>
      <c r="N15" s="7">
        <v>93088</v>
      </c>
      <c r="O15" s="7">
        <v>118611</v>
      </c>
      <c r="P15" s="7">
        <f>176593</f>
        <v>176593</v>
      </c>
    </row>
    <row r="16" spans="1:16" x14ac:dyDescent="0.2">
      <c r="A16" s="8" t="s">
        <v>51</v>
      </c>
      <c r="B16" s="6" t="s">
        <v>57</v>
      </c>
      <c r="C16" s="7">
        <v>10406</v>
      </c>
      <c r="D16" s="7">
        <v>16636</v>
      </c>
      <c r="E16" s="7">
        <v>13219</v>
      </c>
      <c r="F16" s="7">
        <v>16291</v>
      </c>
      <c r="G16" s="7">
        <v>19414</v>
      </c>
      <c r="H16" s="7">
        <v>18054</v>
      </c>
      <c r="I16" s="7">
        <v>23987</v>
      </c>
      <c r="J16" s="7">
        <v>20912</v>
      </c>
      <c r="K16" s="7">
        <v>52692</v>
      </c>
      <c r="L16" s="7">
        <v>45510</v>
      </c>
      <c r="M16" s="7">
        <v>47210</v>
      </c>
      <c r="N16" s="7">
        <v>38326</v>
      </c>
      <c r="O16" s="7">
        <f>O15-O17</f>
        <v>46763</v>
      </c>
      <c r="P16" s="7">
        <f>73467</f>
        <v>73467</v>
      </c>
    </row>
    <row r="17" spans="1:16" x14ac:dyDescent="0.2">
      <c r="A17" s="8" t="s">
        <v>52</v>
      </c>
      <c r="B17" s="6" t="s">
        <v>57</v>
      </c>
      <c r="C17" s="7"/>
      <c r="D17" s="7"/>
      <c r="E17" s="7"/>
      <c r="F17" s="7"/>
      <c r="G17" s="7"/>
      <c r="H17" s="7"/>
      <c r="I17" s="7"/>
      <c r="J17" s="7"/>
      <c r="K17" s="7"/>
      <c r="L17" s="7">
        <v>4995</v>
      </c>
      <c r="M17" s="7">
        <v>36228</v>
      </c>
      <c r="N17" s="7">
        <v>54762</v>
      </c>
      <c r="O17" s="7">
        <v>71848</v>
      </c>
      <c r="P17" s="7">
        <f>103126</f>
        <v>103126</v>
      </c>
    </row>
    <row r="18" spans="1:16" x14ac:dyDescent="0.2">
      <c r="A18" s="8" t="s">
        <v>53</v>
      </c>
      <c r="B18" s="6" t="s">
        <v>57</v>
      </c>
      <c r="C18" s="7">
        <v>15768</v>
      </c>
      <c r="D18" s="7">
        <v>17526</v>
      </c>
      <c r="E18" s="7">
        <v>13037</v>
      </c>
      <c r="F18" s="7">
        <v>15655</v>
      </c>
      <c r="G18" s="7">
        <v>12017</v>
      </c>
      <c r="H18" s="7">
        <v>10206</v>
      </c>
      <c r="I18" s="7">
        <v>14278</v>
      </c>
      <c r="J18" s="7">
        <v>23066</v>
      </c>
      <c r="K18" s="7">
        <v>31128</v>
      </c>
      <c r="L18" s="7">
        <v>25930</v>
      </c>
      <c r="M18" s="7">
        <v>44629</v>
      </c>
      <c r="N18" s="7">
        <v>23811</v>
      </c>
      <c r="O18" s="7">
        <v>9724</v>
      </c>
      <c r="P18" s="7">
        <f>4320</f>
        <v>4320</v>
      </c>
    </row>
    <row r="19" spans="1:16" x14ac:dyDescent="0.2">
      <c r="A19" s="8" t="s">
        <v>54</v>
      </c>
      <c r="B19" s="6" t="s">
        <v>57</v>
      </c>
      <c r="C19" s="7"/>
      <c r="D19" s="7"/>
      <c r="E19" s="7"/>
      <c r="F19" s="7"/>
      <c r="G19" s="7"/>
      <c r="H19" s="7"/>
      <c r="I19" s="7"/>
      <c r="J19" s="7"/>
      <c r="K19" s="7">
        <v>692</v>
      </c>
      <c r="L19" s="7">
        <v>23572</v>
      </c>
      <c r="M19" s="7">
        <v>59752</v>
      </c>
      <c r="N19" s="7">
        <v>60362</v>
      </c>
      <c r="O19" s="7">
        <v>77440</v>
      </c>
      <c r="P19" s="7">
        <f>112289</f>
        <v>112289</v>
      </c>
    </row>
    <row r="20" spans="1:16" x14ac:dyDescent="0.2">
      <c r="A20" s="8" t="s">
        <v>55</v>
      </c>
      <c r="B20" s="6" t="s">
        <v>57</v>
      </c>
      <c r="C20" s="7">
        <v>-5362</v>
      </c>
      <c r="D20" s="7">
        <v>-890</v>
      </c>
      <c r="E20" s="7">
        <v>182</v>
      </c>
      <c r="F20" s="7">
        <v>636</v>
      </c>
      <c r="G20" s="7">
        <v>7397</v>
      </c>
      <c r="H20" s="7">
        <v>7848</v>
      </c>
      <c r="I20" s="7">
        <v>9709</v>
      </c>
      <c r="J20" s="7">
        <v>-2154</v>
      </c>
      <c r="K20" s="7">
        <v>21484</v>
      </c>
      <c r="L20" s="7">
        <v>19580</v>
      </c>
      <c r="M20" s="7">
        <v>2581</v>
      </c>
      <c r="N20" s="7">
        <v>14515</v>
      </c>
      <c r="O20" s="7">
        <v>37039</v>
      </c>
      <c r="P20" s="7">
        <f>69147</f>
        <v>69147</v>
      </c>
    </row>
    <row r="21" spans="1:16" x14ac:dyDescent="0.2">
      <c r="A21" s="8" t="s">
        <v>56</v>
      </c>
      <c r="B21" s="6" t="s">
        <v>2</v>
      </c>
      <c r="C21" s="9"/>
      <c r="D21" s="9"/>
      <c r="E21" s="9">
        <v>0.02</v>
      </c>
      <c r="F21" s="9">
        <v>0.06</v>
      </c>
      <c r="G21" s="9">
        <v>0.96</v>
      </c>
      <c r="H21" s="9">
        <v>1.07</v>
      </c>
      <c r="I21" s="9">
        <v>0.65</v>
      </c>
      <c r="J21" s="11">
        <v>-0.35207584177835888</v>
      </c>
      <c r="K21" s="9">
        <v>1.81</v>
      </c>
      <c r="L21" s="9">
        <v>1.1879626258949161</v>
      </c>
      <c r="M21" s="68">
        <v>0.12209659870381759</v>
      </c>
      <c r="N21" s="68">
        <v>0.77</v>
      </c>
      <c r="O21" s="68">
        <v>1.9067696267696268</v>
      </c>
      <c r="P21" s="68">
        <f>2.41</f>
        <v>2.41</v>
      </c>
    </row>
    <row r="22" spans="1:16" x14ac:dyDescent="0.2">
      <c r="A22" s="8"/>
      <c r="B22" s="6"/>
      <c r="C22" s="9"/>
      <c r="D22" s="9"/>
      <c r="E22" s="9"/>
      <c r="F22" s="9"/>
      <c r="G22" s="9"/>
      <c r="H22" s="9"/>
      <c r="I22" s="9"/>
      <c r="J22" s="11"/>
      <c r="K22" s="9"/>
      <c r="L22" s="9"/>
      <c r="P22" s="5"/>
    </row>
    <row r="23" spans="1:16" x14ac:dyDescent="0.2">
      <c r="A23" s="4" t="s">
        <v>59</v>
      </c>
      <c r="B23" s="9"/>
      <c r="C23" s="10"/>
      <c r="D23" s="10"/>
      <c r="E23" s="10"/>
      <c r="F23" s="10"/>
      <c r="G23" s="10"/>
      <c r="H23" s="10"/>
      <c r="I23" s="10"/>
      <c r="J23" s="10"/>
      <c r="K23" s="10"/>
      <c r="L23" s="10"/>
      <c r="P23" s="5"/>
    </row>
    <row r="24" spans="1:16" x14ac:dyDescent="0.2">
      <c r="A24" s="8" t="s">
        <v>410</v>
      </c>
      <c r="B24" s="6" t="s">
        <v>57</v>
      </c>
      <c r="C24" s="7">
        <v>-2775</v>
      </c>
      <c r="D24" s="7">
        <v>-3027</v>
      </c>
      <c r="E24" s="7">
        <v>678</v>
      </c>
      <c r="F24" s="7">
        <v>2099</v>
      </c>
      <c r="G24" s="7">
        <v>-3297</v>
      </c>
      <c r="H24" s="7">
        <v>4040</v>
      </c>
      <c r="I24" s="7">
        <v>2681</v>
      </c>
      <c r="J24" s="7">
        <v>17403</v>
      </c>
      <c r="K24" s="7">
        <v>13336</v>
      </c>
      <c r="L24" s="7">
        <v>3906</v>
      </c>
      <c r="M24" s="7">
        <v>-17342</v>
      </c>
      <c r="N24" s="7">
        <v>-45552</v>
      </c>
      <c r="O24" s="7">
        <v>-40516</v>
      </c>
      <c r="P24" s="7">
        <f>-79020</f>
        <v>-79020</v>
      </c>
    </row>
    <row r="25" spans="1:16" x14ac:dyDescent="0.2">
      <c r="A25" s="8" t="s">
        <v>60</v>
      </c>
      <c r="B25" s="6" t="s">
        <v>57</v>
      </c>
      <c r="C25" s="7"/>
      <c r="D25" s="7"/>
      <c r="E25" s="7"/>
      <c r="F25" s="7"/>
      <c r="G25" s="7"/>
      <c r="H25" s="7"/>
      <c r="I25" s="7"/>
      <c r="J25" s="7"/>
      <c r="K25" s="7">
        <v>14028</v>
      </c>
      <c r="L25" s="7">
        <v>26786</v>
      </c>
      <c r="M25" s="7">
        <v>18838</v>
      </c>
      <c r="N25" s="7">
        <f>N24+N28+N29</f>
        <v>-17780</v>
      </c>
      <c r="O25" s="7">
        <f>O24+O28+O29</f>
        <v>-5435</v>
      </c>
      <c r="P25" s="7">
        <f>-23793</f>
        <v>-23793</v>
      </c>
    </row>
    <row r="26" spans="1:16" x14ac:dyDescent="0.2">
      <c r="A26" s="8" t="s">
        <v>61</v>
      </c>
      <c r="B26" s="6" t="s">
        <v>57</v>
      </c>
      <c r="C26" s="7">
        <v>-4482</v>
      </c>
      <c r="D26" s="7">
        <v>-4897</v>
      </c>
      <c r="E26" s="7">
        <v>-1462</v>
      </c>
      <c r="F26" s="7">
        <v>-76</v>
      </c>
      <c r="G26" s="7">
        <v>-5994</v>
      </c>
      <c r="H26" s="7">
        <v>819</v>
      </c>
      <c r="I26" s="7">
        <v>243</v>
      </c>
      <c r="J26" s="7">
        <v>14672</v>
      </c>
      <c r="K26" s="7">
        <v>-16624</v>
      </c>
      <c r="L26" s="7">
        <v>-588</v>
      </c>
      <c r="M26" s="7">
        <v>-21623</v>
      </c>
      <c r="N26" s="7">
        <v>-51705</v>
      </c>
      <c r="O26" s="7">
        <v>-57270</v>
      </c>
      <c r="P26" s="7">
        <f>-95015</f>
        <v>-95015</v>
      </c>
    </row>
    <row r="27" spans="1:16" x14ac:dyDescent="0.2">
      <c r="A27" s="8" t="s">
        <v>62</v>
      </c>
      <c r="B27" s="6" t="s">
        <v>57</v>
      </c>
      <c r="C27" s="7"/>
      <c r="D27" s="7"/>
      <c r="E27" s="7"/>
      <c r="F27" s="7"/>
      <c r="G27" s="7"/>
      <c r="H27" s="7"/>
      <c r="I27" s="7"/>
      <c r="J27" s="7"/>
      <c r="K27" s="7">
        <v>-15932</v>
      </c>
      <c r="L27" s="7">
        <v>22292</v>
      </c>
      <c r="M27" s="7">
        <v>14557</v>
      </c>
      <c r="N27" s="7">
        <f>N26+N28+N29</f>
        <v>-23933</v>
      </c>
      <c r="O27" s="7">
        <f>O26+O28+O29</f>
        <v>-22189</v>
      </c>
      <c r="P27" s="7">
        <f>-39788</f>
        <v>-39788</v>
      </c>
    </row>
    <row r="28" spans="1:16" x14ac:dyDescent="0.2">
      <c r="A28" s="8" t="s">
        <v>63</v>
      </c>
      <c r="B28" s="6" t="s">
        <v>57</v>
      </c>
      <c r="C28" s="7"/>
      <c r="D28" s="7"/>
      <c r="E28" s="7"/>
      <c r="F28" s="7"/>
      <c r="G28" s="7"/>
      <c r="H28" s="7"/>
      <c r="I28" s="7"/>
      <c r="J28" s="7"/>
      <c r="K28" s="7">
        <v>692</v>
      </c>
      <c r="L28" s="7">
        <v>22880</v>
      </c>
      <c r="M28" s="7">
        <v>36180</v>
      </c>
      <c r="N28" s="7">
        <v>610</v>
      </c>
      <c r="O28" s="7">
        <v>17078</v>
      </c>
      <c r="P28" s="7">
        <f>34849</f>
        <v>34849</v>
      </c>
    </row>
    <row r="29" spans="1:16" x14ac:dyDescent="0.2">
      <c r="A29" s="162" t="s">
        <v>380</v>
      </c>
      <c r="B29" s="6" t="s">
        <v>57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>
        <v>27162</v>
      </c>
      <c r="O29" s="7">
        <v>18003</v>
      </c>
      <c r="P29" s="7">
        <f>20378</f>
        <v>20378</v>
      </c>
    </row>
    <row r="30" spans="1:16" x14ac:dyDescent="0.2">
      <c r="A30" s="8"/>
      <c r="B30" s="6"/>
      <c r="C30" s="7"/>
      <c r="D30" s="7"/>
      <c r="E30" s="7"/>
      <c r="F30" s="7"/>
      <c r="G30" s="7"/>
      <c r="H30" s="7"/>
      <c r="I30" s="7"/>
      <c r="J30" s="7"/>
      <c r="K30" s="7"/>
      <c r="L30" s="7"/>
      <c r="P30" s="5"/>
    </row>
    <row r="31" spans="1:16" x14ac:dyDescent="0.2">
      <c r="A31" s="4" t="s">
        <v>64</v>
      </c>
      <c r="B31" s="6"/>
      <c r="C31" s="10"/>
      <c r="D31" s="10"/>
      <c r="E31" s="10"/>
      <c r="F31" s="10"/>
      <c r="G31" s="10"/>
      <c r="H31" s="10"/>
      <c r="I31" s="10"/>
      <c r="J31" s="10"/>
      <c r="K31" s="10"/>
      <c r="L31" s="10"/>
      <c r="P31" s="5"/>
    </row>
    <row r="32" spans="1:16" x14ac:dyDescent="0.2">
      <c r="A32" s="8" t="s">
        <v>81</v>
      </c>
      <c r="B32" s="6" t="s">
        <v>57</v>
      </c>
      <c r="C32" s="7">
        <v>18306</v>
      </c>
      <c r="D32" s="7">
        <v>23739</v>
      </c>
      <c r="E32" s="7">
        <v>30227</v>
      </c>
      <c r="F32" s="7">
        <v>39961.02476</v>
      </c>
      <c r="G32" s="7">
        <v>35079.970713895411</v>
      </c>
      <c r="H32" s="7">
        <v>47444</v>
      </c>
      <c r="I32" s="7">
        <v>50239.967601419994</v>
      </c>
      <c r="J32" s="7">
        <v>68731.252889259995</v>
      </c>
      <c r="K32" s="7">
        <v>77627.406625240008</v>
      </c>
      <c r="L32" s="7">
        <v>79922.186658060004</v>
      </c>
      <c r="M32" s="7">
        <f>'Операционные результаты'!M7</f>
        <v>84387.993910000005</v>
      </c>
      <c r="N32" s="7">
        <v>58652</v>
      </c>
      <c r="O32" s="7">
        <v>105564</v>
      </c>
      <c r="P32" s="7">
        <f>146241</f>
        <v>146241</v>
      </c>
    </row>
    <row r="33" spans="1:16" x14ac:dyDescent="0.2">
      <c r="A33" s="8" t="s">
        <v>65</v>
      </c>
      <c r="B33" s="6" t="s">
        <v>57</v>
      </c>
      <c r="C33" s="7"/>
      <c r="D33" s="7"/>
      <c r="E33" s="7">
        <v>26073</v>
      </c>
      <c r="F33" s="7">
        <v>35335</v>
      </c>
      <c r="G33" s="7">
        <v>25845</v>
      </c>
      <c r="H33" s="7">
        <v>39723.422637700001</v>
      </c>
      <c r="I33" s="7">
        <v>46146.695167350001</v>
      </c>
      <c r="J33" s="7">
        <v>62785.436452919996</v>
      </c>
      <c r="K33" s="7">
        <v>77713.387916539999</v>
      </c>
      <c r="L33" s="7">
        <v>81985.030014120013</v>
      </c>
      <c r="M33" s="61">
        <f>'Операционные результаты'!M8</f>
        <v>84093.78253756999</v>
      </c>
      <c r="N33" s="7">
        <v>60386</v>
      </c>
      <c r="O33" s="7">
        <v>82108</v>
      </c>
      <c r="P33" s="7">
        <f>95575</f>
        <v>95575</v>
      </c>
    </row>
    <row r="34" spans="1:16" x14ac:dyDescent="0.2">
      <c r="A34" s="8" t="s">
        <v>66</v>
      </c>
      <c r="B34" s="6" t="s">
        <v>58</v>
      </c>
      <c r="C34" s="7">
        <v>67797</v>
      </c>
      <c r="D34" s="7">
        <v>75013</v>
      </c>
      <c r="E34" s="7">
        <v>84889</v>
      </c>
      <c r="F34" s="7">
        <v>87431</v>
      </c>
      <c r="G34" s="7">
        <v>91057.20360523343</v>
      </c>
      <c r="H34" s="7">
        <v>95649.762108517301</v>
      </c>
      <c r="I34" s="7">
        <v>98094.123288225688</v>
      </c>
      <c r="J34" s="7">
        <v>109445.30457033213</v>
      </c>
      <c r="K34" s="7">
        <v>123140.09552653086</v>
      </c>
      <c r="L34" s="7">
        <v>148500.69067665632</v>
      </c>
      <c r="M34" s="7">
        <f>'Операционные результаты'!M9</f>
        <v>189008.00940000001</v>
      </c>
      <c r="N34" s="7">
        <v>200591</v>
      </c>
      <c r="O34" s="7">
        <v>192904</v>
      </c>
      <c r="P34" s="7">
        <f>209183</f>
        <v>209183</v>
      </c>
    </row>
    <row r="35" spans="1:16" x14ac:dyDescent="0.2">
      <c r="A35" s="8"/>
      <c r="B35" s="6"/>
      <c r="C35" s="7"/>
      <c r="D35" s="7"/>
      <c r="E35" s="7"/>
      <c r="F35" s="7"/>
      <c r="G35" s="7"/>
      <c r="H35" s="7"/>
      <c r="I35" s="7"/>
      <c r="J35" s="7"/>
      <c r="K35" s="7"/>
      <c r="L35" s="7"/>
      <c r="P35" s="5"/>
    </row>
    <row r="36" spans="1:16" x14ac:dyDescent="0.2">
      <c r="A36" s="12" t="s">
        <v>69</v>
      </c>
      <c r="B36" s="6"/>
      <c r="C36" s="10"/>
      <c r="D36" s="10"/>
      <c r="E36" s="10"/>
      <c r="F36" s="10"/>
      <c r="G36" s="10"/>
      <c r="H36" s="10"/>
      <c r="I36" s="10"/>
      <c r="J36" s="10"/>
      <c r="K36" s="10"/>
      <c r="L36" s="10"/>
      <c r="P36" s="5"/>
    </row>
    <row r="37" spans="1:16" x14ac:dyDescent="0.2">
      <c r="A37" s="8" t="s">
        <v>67</v>
      </c>
      <c r="B37" s="6" t="s">
        <v>3</v>
      </c>
      <c r="C37" s="7">
        <v>4192</v>
      </c>
      <c r="D37" s="7">
        <v>5797</v>
      </c>
      <c r="E37" s="7">
        <v>6876</v>
      </c>
      <c r="F37" s="7">
        <v>9045</v>
      </c>
      <c r="G37" s="7">
        <v>7841</v>
      </c>
      <c r="H37" s="7">
        <v>9590</v>
      </c>
      <c r="I37" s="7">
        <v>9916</v>
      </c>
      <c r="J37" s="7">
        <v>12312</v>
      </c>
      <c r="K37" s="7">
        <v>12040</v>
      </c>
      <c r="L37" s="7">
        <v>9725</v>
      </c>
      <c r="M37" s="5">
        <f>'Операционные результаты'!M12</f>
        <v>8560</v>
      </c>
      <c r="N37" s="61">
        <v>6457</v>
      </c>
      <c r="O37" s="61">
        <v>11689</v>
      </c>
      <c r="P37" s="61">
        <f>14304</f>
        <v>14304</v>
      </c>
    </row>
    <row r="38" spans="1:16" x14ac:dyDescent="0.2">
      <c r="A38" s="8" t="s">
        <v>68</v>
      </c>
      <c r="B38" s="6" t="s">
        <v>3</v>
      </c>
      <c r="C38" s="7"/>
      <c r="D38" s="7">
        <v>794</v>
      </c>
      <c r="E38" s="7">
        <v>1415</v>
      </c>
      <c r="F38" s="7">
        <v>2026</v>
      </c>
      <c r="G38" s="7">
        <v>1184</v>
      </c>
      <c r="H38" s="7">
        <v>2047</v>
      </c>
      <c r="I38" s="7">
        <v>3357</v>
      </c>
      <c r="J38" s="7">
        <v>5027</v>
      </c>
      <c r="K38" s="7">
        <v>4336</v>
      </c>
      <c r="L38" s="7">
        <v>4168</v>
      </c>
      <c r="M38" s="5">
        <f>'Операционные результаты'!M13</f>
        <v>3499</v>
      </c>
      <c r="N38" s="61">
        <v>2531</v>
      </c>
      <c r="O38" s="61">
        <v>5818</v>
      </c>
      <c r="P38" s="61">
        <f>4229</f>
        <v>4229</v>
      </c>
    </row>
    <row r="39" spans="1:16" x14ac:dyDescent="0.2">
      <c r="A39" s="8" t="s">
        <v>70</v>
      </c>
      <c r="B39" s="6" t="s">
        <v>4</v>
      </c>
      <c r="C39" s="7"/>
      <c r="D39" s="7">
        <v>14</v>
      </c>
      <c r="E39" s="7">
        <v>21</v>
      </c>
      <c r="F39" s="7">
        <v>22</v>
      </c>
      <c r="G39" s="7">
        <v>15</v>
      </c>
      <c r="H39" s="7">
        <v>21</v>
      </c>
      <c r="I39" s="7">
        <v>34</v>
      </c>
      <c r="J39" s="7">
        <v>41</v>
      </c>
      <c r="K39" s="13">
        <v>36</v>
      </c>
      <c r="L39" s="13">
        <v>43</v>
      </c>
      <c r="M39" s="69">
        <f>'Операционные результаты'!M14</f>
        <v>40.876168224299064</v>
      </c>
      <c r="N39" s="69">
        <v>39</v>
      </c>
      <c r="O39" s="69">
        <v>50</v>
      </c>
      <c r="P39" s="69">
        <f>30</f>
        <v>30</v>
      </c>
    </row>
    <row r="40" spans="1:16" x14ac:dyDescent="0.2">
      <c r="A40" s="8"/>
      <c r="B40" s="6"/>
      <c r="C40" s="7"/>
      <c r="D40" s="7"/>
      <c r="E40" s="7"/>
      <c r="F40" s="7"/>
      <c r="G40" s="7"/>
      <c r="H40" s="7"/>
      <c r="I40" s="7"/>
      <c r="J40" s="7"/>
      <c r="K40" s="13"/>
      <c r="L40" s="13"/>
      <c r="P40" s="5"/>
    </row>
    <row r="41" spans="1:16" x14ac:dyDescent="0.2">
      <c r="A41" s="12" t="s">
        <v>71</v>
      </c>
      <c r="B41" s="6"/>
      <c r="C41" s="10"/>
      <c r="D41" s="10"/>
      <c r="E41" s="10"/>
      <c r="F41" s="10"/>
      <c r="G41" s="10"/>
      <c r="H41" s="10"/>
      <c r="I41" s="10"/>
      <c r="J41" s="10"/>
      <c r="K41" s="10"/>
      <c r="L41" s="10"/>
      <c r="P41" s="5"/>
    </row>
    <row r="42" spans="1:16" x14ac:dyDescent="0.2">
      <c r="A42" s="8" t="s">
        <v>72</v>
      </c>
      <c r="B42" s="6" t="s">
        <v>74</v>
      </c>
      <c r="C42" s="7">
        <v>270012</v>
      </c>
      <c r="D42" s="7">
        <v>316466</v>
      </c>
      <c r="E42" s="7">
        <v>356075</v>
      </c>
      <c r="F42" s="7">
        <v>457055.99999999994</v>
      </c>
      <c r="G42" s="7">
        <v>385252.00999999983</v>
      </c>
      <c r="H42" s="7">
        <v>496008</v>
      </c>
      <c r="I42" s="7">
        <v>512160.82999999996</v>
      </c>
      <c r="J42" s="7">
        <v>627996.36000000057</v>
      </c>
      <c r="K42" s="7">
        <v>630399.10999999975</v>
      </c>
      <c r="L42" s="7">
        <v>538194.04</v>
      </c>
      <c r="M42" s="7">
        <f>'Операционные результаты'!M17</f>
        <v>446479.84000000008</v>
      </c>
      <c r="N42" s="7">
        <v>292396</v>
      </c>
      <c r="O42" s="7">
        <v>547235</v>
      </c>
      <c r="P42" s="7">
        <f>699107</f>
        <v>699107</v>
      </c>
    </row>
    <row r="43" spans="1:16" x14ac:dyDescent="0.2">
      <c r="A43" s="8" t="s">
        <v>73</v>
      </c>
      <c r="B43" s="6" t="s">
        <v>74</v>
      </c>
      <c r="C43" s="7">
        <v>328435</v>
      </c>
      <c r="D43" s="7">
        <v>363120</v>
      </c>
      <c r="E43" s="7">
        <v>468248</v>
      </c>
      <c r="F43" s="7">
        <v>583483</v>
      </c>
      <c r="G43" s="7">
        <v>502203</v>
      </c>
      <c r="H43" s="7">
        <v>420325</v>
      </c>
      <c r="I43" s="7">
        <v>422946</v>
      </c>
      <c r="J43" s="7">
        <v>479339</v>
      </c>
      <c r="K43" s="7">
        <v>621866.93999999994</v>
      </c>
      <c r="L43" s="7">
        <v>540325.10000000009</v>
      </c>
      <c r="M43" s="7">
        <f>'Операционные результаты'!M18</f>
        <v>421209.4</v>
      </c>
      <c r="N43" s="7">
        <v>734773</v>
      </c>
      <c r="O43" s="7">
        <v>416726</v>
      </c>
      <c r="P43" s="7">
        <f>161232</f>
        <v>161232</v>
      </c>
    </row>
    <row r="44" spans="1:16" x14ac:dyDescent="0.2">
      <c r="A44" s="8"/>
      <c r="B44" s="6"/>
      <c r="C44" s="7"/>
      <c r="D44" s="7"/>
      <c r="E44" s="7"/>
      <c r="F44" s="7"/>
      <c r="G44" s="7"/>
      <c r="H44" s="7"/>
      <c r="I44" s="7"/>
      <c r="J44" s="7"/>
      <c r="K44" s="7"/>
      <c r="L44" s="7"/>
      <c r="P44" s="5"/>
    </row>
    <row r="45" spans="1:16" x14ac:dyDescent="0.2">
      <c r="A45" s="12" t="s">
        <v>75</v>
      </c>
      <c r="B45" s="6"/>
      <c r="C45" s="10"/>
      <c r="D45" s="10"/>
      <c r="E45" s="10"/>
      <c r="F45" s="10"/>
      <c r="G45" s="10"/>
      <c r="H45" s="10"/>
      <c r="I45" s="10"/>
      <c r="J45" s="10"/>
      <c r="K45" s="10"/>
      <c r="L45" s="10"/>
      <c r="P45" s="5"/>
    </row>
    <row r="46" spans="1:16" x14ac:dyDescent="0.2">
      <c r="A46" s="8" t="s">
        <v>76</v>
      </c>
      <c r="B46" s="6" t="s">
        <v>57</v>
      </c>
      <c r="C46" s="13">
        <v>55185</v>
      </c>
      <c r="D46" s="13">
        <v>71934</v>
      </c>
      <c r="E46" s="13">
        <v>89252.554799999998</v>
      </c>
      <c r="F46" s="13">
        <v>104286</v>
      </c>
      <c r="G46" s="13">
        <v>104385</v>
      </c>
      <c r="H46" s="13">
        <v>115818.19999999998</v>
      </c>
      <c r="I46" s="13">
        <v>135196.66637727781</v>
      </c>
      <c r="J46" s="13">
        <v>186907.59125065611</v>
      </c>
      <c r="K46" s="13">
        <v>188499.00000200002</v>
      </c>
      <c r="L46" s="13">
        <v>203530.00000100001</v>
      </c>
      <c r="M46" s="13">
        <v>270046.00000100001</v>
      </c>
      <c r="N46" s="13">
        <v>288374</v>
      </c>
      <c r="O46" s="13">
        <v>302526</v>
      </c>
      <c r="P46" s="13">
        <f>304974</f>
        <v>304974</v>
      </c>
    </row>
    <row r="47" spans="1:16" x14ac:dyDescent="0.2">
      <c r="A47" s="8" t="s">
        <v>77</v>
      </c>
      <c r="B47" s="6" t="s">
        <v>57</v>
      </c>
      <c r="C47" s="13">
        <v>55185</v>
      </c>
      <c r="D47" s="13">
        <v>71934</v>
      </c>
      <c r="E47" s="13">
        <v>89252.554799999998</v>
      </c>
      <c r="F47" s="13">
        <v>104286</v>
      </c>
      <c r="G47" s="13">
        <v>104384</v>
      </c>
      <c r="H47" s="13">
        <v>115818.19999999998</v>
      </c>
      <c r="I47" s="13">
        <v>126924.99810065069</v>
      </c>
      <c r="J47" s="13">
        <v>176924.55421948357</v>
      </c>
      <c r="K47" s="13">
        <v>176053.00000200002</v>
      </c>
      <c r="L47" s="13">
        <v>190890.00000100001</v>
      </c>
      <c r="M47" s="13">
        <v>255761.00000100001</v>
      </c>
      <c r="N47" s="13">
        <v>272064</v>
      </c>
      <c r="O47" s="13">
        <v>285984</v>
      </c>
      <c r="P47" s="13">
        <f>284288</f>
        <v>284288</v>
      </c>
    </row>
    <row r="48" spans="1:16" x14ac:dyDescent="0.2">
      <c r="A48" s="14" t="s">
        <v>78</v>
      </c>
      <c r="B48" s="15" t="s">
        <v>80</v>
      </c>
      <c r="C48" s="16">
        <v>3245</v>
      </c>
      <c r="D48" s="16">
        <v>3575</v>
      </c>
      <c r="E48" s="16">
        <v>3442.2999999999997</v>
      </c>
      <c r="F48" s="16">
        <v>3114.3</v>
      </c>
      <c r="G48" s="16">
        <v>2718.8999999999996</v>
      </c>
      <c r="H48" s="16">
        <v>2818.2229412474217</v>
      </c>
      <c r="I48" s="16">
        <v>2818.40783054234</v>
      </c>
      <c r="J48" s="16">
        <v>3357.3835013648318</v>
      </c>
      <c r="K48" s="16">
        <v>3327.5928982373121</v>
      </c>
      <c r="L48" s="16">
        <v>2840.3881505620302</v>
      </c>
      <c r="M48" s="16">
        <f>6002970.75150467/1000</f>
        <v>6002.9707515046703</v>
      </c>
      <c r="N48" s="16">
        <v>6412</v>
      </c>
      <c r="O48" s="16">
        <v>5884</v>
      </c>
      <c r="P48" s="16">
        <f>5485</f>
        <v>5485</v>
      </c>
    </row>
    <row r="49" spans="1:16" x14ac:dyDescent="0.2">
      <c r="A49" s="189"/>
      <c r="B49" s="190"/>
      <c r="C49" s="191"/>
      <c r="D49" s="191"/>
      <c r="E49" s="191"/>
      <c r="F49" s="191"/>
      <c r="G49" s="191"/>
      <c r="H49" s="191"/>
      <c r="I49" s="191"/>
      <c r="J49" s="191"/>
      <c r="K49" s="191"/>
      <c r="L49" s="191"/>
      <c r="M49" s="191"/>
      <c r="N49" s="191"/>
      <c r="O49" s="191"/>
      <c r="P49" s="191"/>
    </row>
    <row r="50" spans="1:16" x14ac:dyDescent="0.2">
      <c r="A50" s="17" t="s">
        <v>79</v>
      </c>
      <c r="B50" s="9"/>
      <c r="C50" s="9"/>
      <c r="D50" s="9"/>
    </row>
  </sheetData>
  <hyperlinks>
    <hyperlink ref="A3" location="Содержание!A1" display="К содержанию" xr:uid="{EEB2A708-1D69-4047-9321-D7237D4BD53A}"/>
  </hyperlink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36A84F-1335-48E0-A12C-D74D3EF1A0F3}">
  <dimension ref="A1:BX51"/>
  <sheetViews>
    <sheetView showGridLines="0" tabSelected="1" zoomScale="80" zoomScaleNormal="80" workbookViewId="0">
      <pane xSplit="1" topLeftCell="BG1" activePane="topRight" state="frozen"/>
      <selection pane="topRight" activeCell="BX51" sqref="BX51"/>
    </sheetView>
  </sheetViews>
  <sheetFormatPr defaultColWidth="9.140625" defaultRowHeight="14.25" outlineLevelCol="1" x14ac:dyDescent="0.2"/>
  <cols>
    <col min="1" max="1" width="70" style="38" customWidth="1"/>
    <col min="2" max="2" width="9.140625" style="5"/>
    <col min="3" max="16" width="9.5703125" style="5" customWidth="1"/>
    <col min="17" max="17" width="9.140625" style="5"/>
    <col min="18" max="70" width="9.140625" style="5" customWidth="1" outlineLevel="1"/>
    <col min="71" max="75" width="9.140625" style="38" customWidth="1" outlineLevel="1"/>
    <col min="76" max="76" width="9.85546875" style="38" bestFit="1" customWidth="1" outlineLevel="1"/>
    <col min="77" max="16384" width="9.140625" style="38"/>
  </cols>
  <sheetData>
    <row r="1" spans="1:76" x14ac:dyDescent="0.2">
      <c r="A1" s="65"/>
      <c r="B1" s="6"/>
      <c r="C1" s="9"/>
      <c r="D1" s="9"/>
      <c r="E1" s="9"/>
      <c r="F1" s="9"/>
      <c r="G1" s="9"/>
      <c r="H1" s="9"/>
      <c r="I1" s="9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</row>
    <row r="2" spans="1:76" ht="18" x14ac:dyDescent="0.25">
      <c r="A2" s="51" t="s">
        <v>37</v>
      </c>
      <c r="B2" s="6"/>
      <c r="C2" s="9"/>
      <c r="D2" s="9"/>
      <c r="E2" s="9"/>
      <c r="F2" s="9"/>
      <c r="G2" s="9"/>
      <c r="H2" s="9"/>
      <c r="I2" s="9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</row>
    <row r="3" spans="1:76" ht="15" x14ac:dyDescent="0.25">
      <c r="A3" s="163" t="s">
        <v>44</v>
      </c>
      <c r="B3" s="6"/>
      <c r="C3" s="9"/>
      <c r="D3" s="9"/>
      <c r="E3" s="9"/>
      <c r="F3" s="9"/>
      <c r="G3" s="9"/>
      <c r="H3" s="9"/>
      <c r="I3" s="9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</row>
    <row r="4" spans="1:76" x14ac:dyDescent="0.2">
      <c r="A4" s="8"/>
      <c r="B4" s="6"/>
      <c r="C4" s="9"/>
      <c r="D4" s="9"/>
      <c r="E4" s="9"/>
      <c r="F4" s="9"/>
      <c r="G4" s="9"/>
      <c r="H4" s="9"/>
      <c r="I4" s="9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</row>
    <row r="5" spans="1:76" x14ac:dyDescent="0.2">
      <c r="A5" s="18"/>
      <c r="B5" s="103"/>
      <c r="C5" s="104">
        <v>2011</v>
      </c>
      <c r="D5" s="104">
        <v>2012</v>
      </c>
      <c r="E5" s="104">
        <v>2013</v>
      </c>
      <c r="F5" s="104">
        <v>2014</v>
      </c>
      <c r="G5" s="104">
        <v>2015</v>
      </c>
      <c r="H5" s="104">
        <v>2016</v>
      </c>
      <c r="I5" s="104">
        <v>2017</v>
      </c>
      <c r="J5" s="104">
        <v>2018</v>
      </c>
      <c r="K5" s="104">
        <v>2019</v>
      </c>
      <c r="L5" s="104">
        <v>2020</v>
      </c>
      <c r="M5" s="104">
        <v>2021</v>
      </c>
      <c r="N5" s="104">
        <v>2022</v>
      </c>
      <c r="O5" s="104">
        <v>2023</v>
      </c>
      <c r="P5" s="104">
        <v>2024</v>
      </c>
      <c r="Q5" s="105"/>
      <c r="R5" s="106" t="s">
        <v>82</v>
      </c>
      <c r="S5" s="106" t="s">
        <v>83</v>
      </c>
      <c r="T5" s="106" t="s">
        <v>84</v>
      </c>
      <c r="U5" s="106" t="s">
        <v>85</v>
      </c>
      <c r="V5" s="106" t="s">
        <v>86</v>
      </c>
      <c r="W5" s="106" t="s">
        <v>87</v>
      </c>
      <c r="X5" s="106" t="s">
        <v>88</v>
      </c>
      <c r="Y5" s="106" t="s">
        <v>89</v>
      </c>
      <c r="Z5" s="106" t="s">
        <v>90</v>
      </c>
      <c r="AA5" s="106" t="s">
        <v>91</v>
      </c>
      <c r="AB5" s="106" t="s">
        <v>92</v>
      </c>
      <c r="AC5" s="106" t="s">
        <v>93</v>
      </c>
      <c r="AD5" s="106" t="s">
        <v>94</v>
      </c>
      <c r="AE5" s="106" t="s">
        <v>95</v>
      </c>
      <c r="AF5" s="106" t="s">
        <v>96</v>
      </c>
      <c r="AG5" s="106" t="s">
        <v>97</v>
      </c>
      <c r="AH5" s="106" t="s">
        <v>98</v>
      </c>
      <c r="AI5" s="106" t="s">
        <v>99</v>
      </c>
      <c r="AJ5" s="106" t="s">
        <v>100</v>
      </c>
      <c r="AK5" s="106" t="s">
        <v>101</v>
      </c>
      <c r="AL5" s="106" t="s">
        <v>102</v>
      </c>
      <c r="AM5" s="106" t="s">
        <v>103</v>
      </c>
      <c r="AN5" s="106" t="s">
        <v>104</v>
      </c>
      <c r="AO5" s="106" t="s">
        <v>105</v>
      </c>
      <c r="AP5" s="106" t="s">
        <v>106</v>
      </c>
      <c r="AQ5" s="106" t="s">
        <v>107</v>
      </c>
      <c r="AR5" s="106" t="s">
        <v>108</v>
      </c>
      <c r="AS5" s="106" t="s">
        <v>109</v>
      </c>
      <c r="AT5" s="106" t="s">
        <v>110</v>
      </c>
      <c r="AU5" s="106" t="s">
        <v>111</v>
      </c>
      <c r="AV5" s="106" t="s">
        <v>112</v>
      </c>
      <c r="AW5" s="106" t="s">
        <v>113</v>
      </c>
      <c r="AX5" s="106" t="s">
        <v>114</v>
      </c>
      <c r="AY5" s="106" t="s">
        <v>115</v>
      </c>
      <c r="AZ5" s="106" t="s">
        <v>116</v>
      </c>
      <c r="BA5" s="106" t="s">
        <v>117</v>
      </c>
      <c r="BB5" s="106" t="s">
        <v>118</v>
      </c>
      <c r="BC5" s="106" t="s">
        <v>119</v>
      </c>
      <c r="BD5" s="106" t="s">
        <v>120</v>
      </c>
      <c r="BE5" s="106" t="s">
        <v>121</v>
      </c>
      <c r="BF5" s="106" t="s">
        <v>122</v>
      </c>
      <c r="BG5" s="106" t="s">
        <v>123</v>
      </c>
      <c r="BH5" s="106" t="s">
        <v>124</v>
      </c>
      <c r="BI5" s="106" t="s">
        <v>125</v>
      </c>
      <c r="BJ5" s="106" t="s">
        <v>126</v>
      </c>
      <c r="BK5" s="106" t="s">
        <v>127</v>
      </c>
      <c r="BL5" s="106" t="s">
        <v>128</v>
      </c>
      <c r="BM5" s="106" t="s">
        <v>129</v>
      </c>
      <c r="BN5" s="106" t="s">
        <v>132</v>
      </c>
      <c r="BO5" s="106" t="s">
        <v>133</v>
      </c>
      <c r="BP5" s="106" t="s">
        <v>134</v>
      </c>
      <c r="BQ5" s="106" t="s">
        <v>130</v>
      </c>
      <c r="BR5" s="106" t="s">
        <v>131</v>
      </c>
      <c r="BS5" s="106" t="s">
        <v>379</v>
      </c>
      <c r="BT5" s="106" t="s">
        <v>400</v>
      </c>
      <c r="BU5" s="106" t="s">
        <v>401</v>
      </c>
      <c r="BV5" s="106" t="s">
        <v>412</v>
      </c>
      <c r="BW5" s="106" t="s">
        <v>469</v>
      </c>
      <c r="BX5" s="106" t="s">
        <v>479</v>
      </c>
    </row>
    <row r="6" spans="1:76" x14ac:dyDescent="0.2">
      <c r="A6" s="4" t="s">
        <v>64</v>
      </c>
      <c r="B6" s="6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8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8"/>
      <c r="BK6" s="8"/>
      <c r="BL6" s="8"/>
      <c r="BS6" s="5"/>
      <c r="BT6" s="5"/>
    </row>
    <row r="7" spans="1:76" x14ac:dyDescent="0.2">
      <c r="A7" s="8" t="s">
        <v>81</v>
      </c>
      <c r="B7" s="6" t="s">
        <v>57</v>
      </c>
      <c r="C7" s="20">
        <f>SUM(R7:U7)</f>
        <v>18306</v>
      </c>
      <c r="D7" s="20">
        <f>SUM(V7:Y7)</f>
        <v>23739</v>
      </c>
      <c r="E7" s="20">
        <f>SUM(Z7:AC7)</f>
        <v>30227</v>
      </c>
      <c r="F7" s="20">
        <f>SUM(AD7:AG7)</f>
        <v>39961.02476</v>
      </c>
      <c r="G7" s="20">
        <f>SUM(AH7:AK7)</f>
        <v>35079.970713895411</v>
      </c>
      <c r="H7" s="20">
        <f>SUM(AL7:AO7)</f>
        <v>47444</v>
      </c>
      <c r="I7" s="20">
        <f>SUM(AP7:AS7)</f>
        <v>50239.967601419994</v>
      </c>
      <c r="J7" s="20">
        <f>SUM(AT7:AW7)</f>
        <v>68731.252889259995</v>
      </c>
      <c r="K7" s="20">
        <f>SUM(AX7:BA7)</f>
        <v>77627.406625240008</v>
      </c>
      <c r="L7" s="20">
        <f>SUM(BB7:BE7)</f>
        <v>79922.186658060004</v>
      </c>
      <c r="M7" s="20">
        <f>SUM(BF7:BI7)</f>
        <v>84387.993910000005</v>
      </c>
      <c r="N7" s="20">
        <f>SUM(BJ7:BM7)</f>
        <v>58652</v>
      </c>
      <c r="O7" s="20">
        <f>SUM(BN7:BQ7)</f>
        <v>105563.58845944001</v>
      </c>
      <c r="P7" s="20">
        <f>SUM(BR7:BU7)</f>
        <v>146241</v>
      </c>
      <c r="Q7" s="8"/>
      <c r="R7" s="20">
        <v>4158</v>
      </c>
      <c r="S7" s="20">
        <v>3781</v>
      </c>
      <c r="T7" s="20">
        <v>4336</v>
      </c>
      <c r="U7" s="20">
        <v>6031</v>
      </c>
      <c r="V7" s="20">
        <v>5566</v>
      </c>
      <c r="W7" s="20">
        <v>5195</v>
      </c>
      <c r="X7" s="20">
        <v>5563</v>
      </c>
      <c r="Y7" s="20">
        <v>7415</v>
      </c>
      <c r="Z7" s="20">
        <v>5923</v>
      </c>
      <c r="AA7" s="20">
        <v>6746</v>
      </c>
      <c r="AB7" s="20">
        <v>8152</v>
      </c>
      <c r="AC7" s="20">
        <v>9406</v>
      </c>
      <c r="AD7" s="20">
        <v>9076.8653331200003</v>
      </c>
      <c r="AE7" s="20">
        <v>8095.1199196799998</v>
      </c>
      <c r="AF7" s="20">
        <v>9480.1498460799994</v>
      </c>
      <c r="AG7" s="20">
        <v>13308.88966112</v>
      </c>
      <c r="AH7" s="20">
        <v>3803.6569252554141</v>
      </c>
      <c r="AI7" s="20">
        <v>4109.9257364599998</v>
      </c>
      <c r="AJ7" s="20">
        <v>11392.218554999999</v>
      </c>
      <c r="AK7" s="20">
        <v>15774.169497179999</v>
      </c>
      <c r="AL7" s="20">
        <v>12860</v>
      </c>
      <c r="AM7" s="20">
        <v>10284</v>
      </c>
      <c r="AN7" s="20">
        <v>10575</v>
      </c>
      <c r="AO7" s="20">
        <v>13725</v>
      </c>
      <c r="AP7" s="20">
        <v>10248.314041999998</v>
      </c>
      <c r="AQ7" s="20">
        <v>11346.0364044</v>
      </c>
      <c r="AR7" s="20">
        <v>11969.5977286</v>
      </c>
      <c r="AS7" s="20">
        <v>16676.01942642</v>
      </c>
      <c r="AT7" s="20">
        <v>13605.154832299999</v>
      </c>
      <c r="AU7" s="20">
        <v>13881.61159593</v>
      </c>
      <c r="AV7" s="20">
        <v>16798.903380110001</v>
      </c>
      <c r="AW7" s="20">
        <v>24445.583080919998</v>
      </c>
      <c r="AX7" s="20">
        <v>19952.326535439999</v>
      </c>
      <c r="AY7" s="20">
        <v>18782.154632410005</v>
      </c>
      <c r="AZ7" s="20">
        <v>17098.350112380002</v>
      </c>
      <c r="BA7" s="20">
        <v>21794.575345010002</v>
      </c>
      <c r="BB7" s="20">
        <v>17936.319566999999</v>
      </c>
      <c r="BC7" s="20">
        <v>11585.362794000001</v>
      </c>
      <c r="BD7" s="20">
        <v>23982.568796</v>
      </c>
      <c r="BE7" s="20">
        <v>26417.935501060001</v>
      </c>
      <c r="BF7" s="19">
        <v>16214.395377000001</v>
      </c>
      <c r="BG7" s="19">
        <v>24932.598533</v>
      </c>
      <c r="BH7" s="19">
        <v>18390</v>
      </c>
      <c r="BI7" s="19">
        <v>24851</v>
      </c>
      <c r="BJ7" s="19">
        <v>19681</v>
      </c>
      <c r="BK7" s="19">
        <v>9638</v>
      </c>
      <c r="BL7" s="19">
        <v>13329</v>
      </c>
      <c r="BM7" s="19">
        <v>16004</v>
      </c>
      <c r="BN7" s="19">
        <v>13436.384795000002</v>
      </c>
      <c r="BO7" s="19">
        <v>20566.103885999997</v>
      </c>
      <c r="BP7" s="19">
        <v>31169.099778440002</v>
      </c>
      <c r="BQ7" s="62">
        <v>40392</v>
      </c>
      <c r="BR7" s="62">
        <v>40965</v>
      </c>
      <c r="BS7" s="62">
        <v>37627</v>
      </c>
      <c r="BT7" s="62">
        <f>36948</f>
        <v>36948</v>
      </c>
      <c r="BU7" s="62">
        <f>30701</f>
        <v>30701</v>
      </c>
      <c r="BV7" s="62">
        <f>37377</f>
        <v>37377</v>
      </c>
      <c r="BW7" s="62">
        <f>24824</f>
        <v>24824</v>
      </c>
      <c r="BX7" s="62">
        <v>46855</v>
      </c>
    </row>
    <row r="8" spans="1:76" x14ac:dyDescent="0.2">
      <c r="A8" s="8" t="s">
        <v>65</v>
      </c>
      <c r="B8" s="6" t="s">
        <v>57</v>
      </c>
      <c r="C8" s="20"/>
      <c r="D8" s="20"/>
      <c r="E8" s="20">
        <f>SUM(Z8:AC8)</f>
        <v>26073</v>
      </c>
      <c r="F8" s="20">
        <f>SUM(AD8:AG8)</f>
        <v>35335</v>
      </c>
      <c r="G8" s="20">
        <f>SUM(AH8:AK8)</f>
        <v>25845</v>
      </c>
      <c r="H8" s="20">
        <f>SUM(AL8:AO8)</f>
        <v>39723.422637700001</v>
      </c>
      <c r="I8" s="20">
        <f>SUM(AP8:AS8)</f>
        <v>46146.695167350001</v>
      </c>
      <c r="J8" s="20">
        <f>SUM(AT8:AW8)</f>
        <v>62785.436452919996</v>
      </c>
      <c r="K8" s="20">
        <f>SUM(AX8:BA8)</f>
        <v>77713.387916539999</v>
      </c>
      <c r="L8" s="20">
        <f>SUM(BB8:BE8)</f>
        <v>81985.030014120013</v>
      </c>
      <c r="M8" s="20">
        <f>SUM(BF8:BI8)</f>
        <v>84093.78253756999</v>
      </c>
      <c r="N8" s="20">
        <f t="shared" ref="N8:N18" si="0">SUM(BJ8:BM8)</f>
        <v>60386</v>
      </c>
      <c r="O8" s="20">
        <f>SUM(BN8:BQ8)</f>
        <v>82107.948539289995</v>
      </c>
      <c r="P8" s="20">
        <v>95575</v>
      </c>
      <c r="Q8" s="8"/>
      <c r="R8" s="20"/>
      <c r="S8" s="20"/>
      <c r="T8" s="20"/>
      <c r="U8" s="20"/>
      <c r="V8" s="20"/>
      <c r="W8" s="20"/>
      <c r="X8" s="20"/>
      <c r="Y8" s="20"/>
      <c r="Z8" s="20">
        <v>5237</v>
      </c>
      <c r="AA8" s="20">
        <v>5703</v>
      </c>
      <c r="AB8" s="20">
        <v>6769</v>
      </c>
      <c r="AC8" s="20">
        <v>8364</v>
      </c>
      <c r="AD8" s="20">
        <v>9088</v>
      </c>
      <c r="AE8" s="20">
        <v>5747</v>
      </c>
      <c r="AF8" s="20">
        <v>9012</v>
      </c>
      <c r="AG8" s="20">
        <v>11488</v>
      </c>
      <c r="AH8" s="20">
        <v>6003</v>
      </c>
      <c r="AI8" s="20">
        <v>4412</v>
      </c>
      <c r="AJ8" s="20">
        <v>5798</v>
      </c>
      <c r="AK8" s="20">
        <v>9632</v>
      </c>
      <c r="AL8" s="20">
        <v>10570.772917070002</v>
      </c>
      <c r="AM8" s="20">
        <v>9286</v>
      </c>
      <c r="AN8" s="20">
        <v>8743.8683072799995</v>
      </c>
      <c r="AO8" s="20">
        <v>11122.78141335</v>
      </c>
      <c r="AP8" s="20">
        <v>9714.1392184200031</v>
      </c>
      <c r="AQ8" s="20">
        <v>9282.8890235700001</v>
      </c>
      <c r="AR8" s="20">
        <v>12432.99312372</v>
      </c>
      <c r="AS8" s="20">
        <v>14716.673801640001</v>
      </c>
      <c r="AT8" s="20">
        <v>12777.758215059999</v>
      </c>
      <c r="AU8" s="20">
        <v>14693.6143854</v>
      </c>
      <c r="AV8" s="20">
        <v>15010.584524129999</v>
      </c>
      <c r="AW8" s="20">
        <v>20303.479328329999</v>
      </c>
      <c r="AX8" s="20">
        <v>23631.847321820002</v>
      </c>
      <c r="AY8" s="20">
        <v>19176.827587320004</v>
      </c>
      <c r="AZ8" s="20">
        <v>16114.074190339999</v>
      </c>
      <c r="BA8" s="20">
        <v>18790.638817060004</v>
      </c>
      <c r="BB8" s="20">
        <v>17604.427967750002</v>
      </c>
      <c r="BC8" s="20">
        <v>13942.190508559999</v>
      </c>
      <c r="BD8" s="20">
        <v>21235.062525180001</v>
      </c>
      <c r="BE8" s="20">
        <v>29203.349012630002</v>
      </c>
      <c r="BF8" s="19">
        <v>18036.233013270001</v>
      </c>
      <c r="BG8" s="19">
        <v>22852.549524299997</v>
      </c>
      <c r="BH8" s="19">
        <v>19308</v>
      </c>
      <c r="BI8" s="19">
        <v>23897</v>
      </c>
      <c r="BJ8" s="19">
        <v>21235</v>
      </c>
      <c r="BK8" s="19">
        <v>11402</v>
      </c>
      <c r="BL8" s="19">
        <v>11170</v>
      </c>
      <c r="BM8" s="19">
        <v>16579</v>
      </c>
      <c r="BN8" s="19">
        <v>12000.56727009</v>
      </c>
      <c r="BO8" s="19">
        <v>16208.977656510002</v>
      </c>
      <c r="BP8" s="19">
        <v>24684.403612690003</v>
      </c>
      <c r="BQ8" s="62">
        <v>29214</v>
      </c>
      <c r="BR8" s="62">
        <f>21587</f>
        <v>21587</v>
      </c>
      <c r="BS8" s="62">
        <f>27201</f>
        <v>27201</v>
      </c>
      <c r="BT8" s="62">
        <f>24560</f>
        <v>24560</v>
      </c>
      <c r="BU8" s="62">
        <f>22226</f>
        <v>22226</v>
      </c>
      <c r="BV8" s="62">
        <f>18096</f>
        <v>18096</v>
      </c>
      <c r="BW8" s="62">
        <f>21530</f>
        <v>21530</v>
      </c>
      <c r="BX8" s="62">
        <f>20125</f>
        <v>20125</v>
      </c>
    </row>
    <row r="9" spans="1:76" x14ac:dyDescent="0.2">
      <c r="A9" s="8" t="s">
        <v>66</v>
      </c>
      <c r="B9" s="6" t="s">
        <v>58</v>
      </c>
      <c r="C9" s="20">
        <v>67797</v>
      </c>
      <c r="D9" s="20">
        <v>75013</v>
      </c>
      <c r="E9" s="20">
        <v>84889</v>
      </c>
      <c r="F9" s="20">
        <v>87431</v>
      </c>
      <c r="G9" s="20">
        <v>91057.20360523343</v>
      </c>
      <c r="H9" s="20">
        <v>95649.762108517301</v>
      </c>
      <c r="I9" s="20">
        <v>98094.123288225688</v>
      </c>
      <c r="J9" s="20">
        <v>109445.30457033213</v>
      </c>
      <c r="K9" s="20">
        <v>123140.09552653086</v>
      </c>
      <c r="L9" s="20">
        <v>148500.69067665632</v>
      </c>
      <c r="M9" s="20">
        <v>189008.00940000001</v>
      </c>
      <c r="N9" s="20">
        <v>198413</v>
      </c>
      <c r="O9" s="20">
        <v>192904</v>
      </c>
      <c r="P9" s="20">
        <f>209183</f>
        <v>209183</v>
      </c>
      <c r="Q9" s="8"/>
      <c r="R9" s="20">
        <v>69721</v>
      </c>
      <c r="S9" s="20">
        <v>60453</v>
      </c>
      <c r="T9" s="20">
        <v>68030</v>
      </c>
      <c r="U9" s="20">
        <v>71718</v>
      </c>
      <c r="V9" s="20">
        <v>71611</v>
      </c>
      <c r="W9" s="20">
        <v>75120</v>
      </c>
      <c r="X9" s="20">
        <v>74073</v>
      </c>
      <c r="Y9" s="20">
        <v>78484</v>
      </c>
      <c r="Z9" s="20">
        <v>80606</v>
      </c>
      <c r="AA9" s="20">
        <v>81102</v>
      </c>
      <c r="AB9" s="20">
        <v>87800</v>
      </c>
      <c r="AC9" s="20">
        <v>85667</v>
      </c>
      <c r="AD9" s="20">
        <v>83228.279413133379</v>
      </c>
      <c r="AE9" s="20">
        <v>85288.692095209277</v>
      </c>
      <c r="AF9" s="20">
        <v>89402.153728722871</v>
      </c>
      <c r="AG9" s="20">
        <v>90510.557914723904</v>
      </c>
      <c r="AH9" s="20">
        <v>80946.282812226491</v>
      </c>
      <c r="AI9" s="20">
        <v>97918.322170442902</v>
      </c>
      <c r="AJ9" s="20">
        <v>93746.002211283601</v>
      </c>
      <c r="AK9" s="20">
        <v>90258.314857375255</v>
      </c>
      <c r="AL9" s="20">
        <v>95254</v>
      </c>
      <c r="AM9" s="20">
        <v>102223</v>
      </c>
      <c r="AN9" s="20">
        <v>99144</v>
      </c>
      <c r="AO9" s="20">
        <v>89272</v>
      </c>
      <c r="AP9" s="20">
        <v>90177.794240254676</v>
      </c>
      <c r="AQ9" s="20">
        <v>92675.773665021043</v>
      </c>
      <c r="AR9" s="20">
        <v>105015.44777916004</v>
      </c>
      <c r="AS9" s="20">
        <v>102869.44993975338</v>
      </c>
      <c r="AT9" s="20">
        <v>101473.95361667546</v>
      </c>
      <c r="AU9" s="20">
        <v>108055.02285767831</v>
      </c>
      <c r="AV9" s="20">
        <v>109015.40579162672</v>
      </c>
      <c r="AW9" s="20">
        <v>115660.46550332049</v>
      </c>
      <c r="AX9" s="20">
        <v>118796.12844466366</v>
      </c>
      <c r="AY9" s="20">
        <v>121758.63498952119</v>
      </c>
      <c r="AZ9" s="20">
        <v>125118.06952713689</v>
      </c>
      <c r="BA9" s="20">
        <v>127060.01614186288</v>
      </c>
      <c r="BB9" s="20">
        <v>142384.42321047024</v>
      </c>
      <c r="BC9" s="20">
        <v>121971.44740463202</v>
      </c>
      <c r="BD9" s="20">
        <v>159404.83358335987</v>
      </c>
      <c r="BE9" s="20">
        <v>158392.26542298836</v>
      </c>
      <c r="BF9" s="19">
        <v>164329.03697465188</v>
      </c>
      <c r="BG9" s="19">
        <v>203915.04321517842</v>
      </c>
      <c r="BH9" s="19">
        <v>190633</v>
      </c>
      <c r="BI9" s="19">
        <v>192538</v>
      </c>
      <c r="BJ9" s="19">
        <v>217611</v>
      </c>
      <c r="BK9" s="19">
        <v>181732</v>
      </c>
      <c r="BL9" s="19">
        <v>198985</v>
      </c>
      <c r="BM9" s="19">
        <v>195324</v>
      </c>
      <c r="BN9" s="19">
        <v>182478.08071313796</v>
      </c>
      <c r="BO9" s="19">
        <v>185870.63073595663</v>
      </c>
      <c r="BP9" s="19">
        <v>199371.19042391944</v>
      </c>
      <c r="BQ9" s="62">
        <v>195493</v>
      </c>
      <c r="BR9" s="62">
        <v>216512</v>
      </c>
      <c r="BS9" s="62">
        <v>192020.80584774294</v>
      </c>
      <c r="BT9" s="62">
        <f>234799</f>
        <v>234799</v>
      </c>
      <c r="BU9" s="62">
        <f>195000</f>
        <v>195000</v>
      </c>
      <c r="BV9" s="62">
        <f>194595</f>
        <v>194595</v>
      </c>
      <c r="BW9" s="62">
        <f>239432</f>
        <v>239432</v>
      </c>
      <c r="BX9" s="62">
        <f>267395</f>
        <v>267395</v>
      </c>
    </row>
    <row r="10" spans="1:76" x14ac:dyDescent="0.2">
      <c r="A10" s="21"/>
      <c r="B10" s="6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8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19"/>
      <c r="BG10" s="19"/>
      <c r="BH10" s="19"/>
      <c r="BI10" s="19"/>
      <c r="BJ10" s="8"/>
      <c r="BK10" s="8"/>
      <c r="BL10" s="8"/>
      <c r="BM10" s="8"/>
      <c r="BN10" s="8"/>
      <c r="BO10" s="8"/>
      <c r="BP10" s="8"/>
      <c r="BS10" s="5"/>
      <c r="BT10" s="5"/>
      <c r="BU10" s="62"/>
      <c r="BV10" s="62"/>
      <c r="BW10" s="62"/>
      <c r="BX10" s="62"/>
    </row>
    <row r="11" spans="1:76" x14ac:dyDescent="0.2">
      <c r="A11" s="12" t="s">
        <v>69</v>
      </c>
      <c r="B11" s="6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8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19"/>
      <c r="BG11" s="19"/>
      <c r="BH11" s="19"/>
      <c r="BI11" s="19"/>
      <c r="BJ11" s="8"/>
      <c r="BK11" s="8"/>
      <c r="BL11" s="8"/>
      <c r="BM11" s="8"/>
      <c r="BN11" s="8"/>
      <c r="BO11" s="8"/>
      <c r="BP11" s="8"/>
      <c r="BS11" s="5"/>
      <c r="BT11" s="5"/>
      <c r="BU11" s="62"/>
      <c r="BV11" s="62"/>
      <c r="BW11" s="62"/>
      <c r="BX11" s="62"/>
    </row>
    <row r="12" spans="1:76" x14ac:dyDescent="0.2">
      <c r="A12" s="8" t="s">
        <v>67</v>
      </c>
      <c r="B12" s="6" t="s">
        <v>3</v>
      </c>
      <c r="C12" s="20">
        <v>4192</v>
      </c>
      <c r="D12" s="20">
        <f>SUM(V12:Y12)</f>
        <v>5797</v>
      </c>
      <c r="E12" s="20">
        <f>SUM(Z12:AC12)</f>
        <v>6876</v>
      </c>
      <c r="F12" s="20">
        <f>SUM(AD12:AG12)</f>
        <v>9045</v>
      </c>
      <c r="G12" s="20">
        <f>SUM(AH12:AK12)</f>
        <v>7841</v>
      </c>
      <c r="H12" s="20">
        <f>SUM(AL12:AO12)</f>
        <v>9590</v>
      </c>
      <c r="I12" s="20">
        <f>SUM(AP12:AS12)</f>
        <v>9916</v>
      </c>
      <c r="J12" s="20">
        <f>SUM(AT12:AW12)</f>
        <v>12312</v>
      </c>
      <c r="K12" s="20">
        <f>SUM(AX12:BA12)</f>
        <v>12040</v>
      </c>
      <c r="L12" s="20">
        <f>SUM(BB12:BE12)</f>
        <v>9725</v>
      </c>
      <c r="M12" s="20">
        <f>SUM(BF12:BI12)</f>
        <v>8560</v>
      </c>
      <c r="N12" s="20">
        <f t="shared" si="0"/>
        <v>6457</v>
      </c>
      <c r="O12" s="20">
        <f>SUM(BN12:BQ12)</f>
        <v>11689</v>
      </c>
      <c r="P12" s="20">
        <f>SUM(BR12:BU12)</f>
        <v>14304</v>
      </c>
      <c r="Q12" s="8"/>
      <c r="R12" s="20"/>
      <c r="S12" s="20"/>
      <c r="T12" s="20"/>
      <c r="U12" s="20"/>
      <c r="V12" s="20">
        <v>1338</v>
      </c>
      <c r="W12" s="20">
        <v>1235</v>
      </c>
      <c r="X12" s="20">
        <v>1390</v>
      </c>
      <c r="Y12" s="20">
        <v>1834</v>
      </c>
      <c r="Z12" s="20">
        <v>1454</v>
      </c>
      <c r="AA12" s="20">
        <v>1548</v>
      </c>
      <c r="AB12" s="20">
        <v>1752</v>
      </c>
      <c r="AC12" s="20">
        <v>2122</v>
      </c>
      <c r="AD12" s="20">
        <v>2300</v>
      </c>
      <c r="AE12" s="20">
        <v>2033</v>
      </c>
      <c r="AF12" s="20">
        <v>1960</v>
      </c>
      <c r="AG12" s="20">
        <v>2752</v>
      </c>
      <c r="AH12" s="20">
        <v>1028</v>
      </c>
      <c r="AI12" s="20">
        <v>831</v>
      </c>
      <c r="AJ12" s="20">
        <v>2525</v>
      </c>
      <c r="AK12" s="20">
        <v>3457</v>
      </c>
      <c r="AL12" s="20">
        <v>2634</v>
      </c>
      <c r="AM12" s="20">
        <v>1886</v>
      </c>
      <c r="AN12" s="20">
        <v>2069</v>
      </c>
      <c r="AO12" s="20">
        <v>3001</v>
      </c>
      <c r="AP12" s="20">
        <v>2082</v>
      </c>
      <c r="AQ12" s="20">
        <v>2321</v>
      </c>
      <c r="AR12" s="20">
        <v>2331</v>
      </c>
      <c r="AS12" s="20">
        <v>3182</v>
      </c>
      <c r="AT12" s="20">
        <v>2573</v>
      </c>
      <c r="AU12" s="20">
        <v>2532</v>
      </c>
      <c r="AV12" s="20">
        <v>2962</v>
      </c>
      <c r="AW12" s="20">
        <v>4245</v>
      </c>
      <c r="AX12" s="20">
        <v>3470</v>
      </c>
      <c r="AY12" s="20">
        <v>3060</v>
      </c>
      <c r="AZ12" s="20">
        <v>2579</v>
      </c>
      <c r="BA12" s="20">
        <v>2931</v>
      </c>
      <c r="BB12" s="20">
        <v>2323</v>
      </c>
      <c r="BC12" s="20">
        <v>1559</v>
      </c>
      <c r="BD12" s="20">
        <v>2706</v>
      </c>
      <c r="BE12" s="20">
        <v>3137</v>
      </c>
      <c r="BF12" s="19">
        <v>1989</v>
      </c>
      <c r="BG12" s="19">
        <v>2297</v>
      </c>
      <c r="BH12" s="19">
        <v>1869</v>
      </c>
      <c r="BI12" s="19">
        <v>2405</v>
      </c>
      <c r="BJ12" s="19">
        <v>1899</v>
      </c>
      <c r="BK12" s="19">
        <v>1216</v>
      </c>
      <c r="BL12" s="19">
        <v>1572</v>
      </c>
      <c r="BM12" s="19">
        <v>1770</v>
      </c>
      <c r="BN12" s="19">
        <v>1555</v>
      </c>
      <c r="BO12" s="19">
        <v>2265</v>
      </c>
      <c r="BP12" s="19">
        <v>3343</v>
      </c>
      <c r="BQ12" s="62">
        <v>4526</v>
      </c>
      <c r="BR12" s="62">
        <v>3816</v>
      </c>
      <c r="BS12" s="62">
        <v>3643</v>
      </c>
      <c r="BT12" s="62">
        <f>3368</f>
        <v>3368</v>
      </c>
      <c r="BU12" s="62">
        <f>3477</f>
        <v>3477</v>
      </c>
      <c r="BV12" s="62">
        <f>4075</f>
        <v>4075</v>
      </c>
      <c r="BW12" s="62">
        <f>2479</f>
        <v>2479</v>
      </c>
      <c r="BX12" s="62">
        <f>2772</f>
        <v>2772</v>
      </c>
    </row>
    <row r="13" spans="1:76" x14ac:dyDescent="0.2">
      <c r="A13" s="8" t="s">
        <v>68</v>
      </c>
      <c r="B13" s="6"/>
      <c r="C13" s="20"/>
      <c r="D13" s="20">
        <f>SUM(V13:Y13)</f>
        <v>794</v>
      </c>
      <c r="E13" s="20">
        <f>SUM(Z13:AC13)</f>
        <v>1415</v>
      </c>
      <c r="F13" s="20">
        <f>SUM(AD13:AG13)</f>
        <v>2026</v>
      </c>
      <c r="G13" s="20">
        <f>SUM(AH13:AK13)</f>
        <v>1184</v>
      </c>
      <c r="H13" s="20">
        <f>SUM(AL13:AO13)</f>
        <v>2047</v>
      </c>
      <c r="I13" s="20">
        <f>SUM(AP13:AS13)</f>
        <v>3357</v>
      </c>
      <c r="J13" s="20">
        <f>SUM(AT13:AW13)</f>
        <v>5027</v>
      </c>
      <c r="K13" s="20">
        <f>SUM(AX13:BA13)</f>
        <v>4336</v>
      </c>
      <c r="L13" s="20">
        <f>SUM(BB13:BE13)</f>
        <v>4168</v>
      </c>
      <c r="M13" s="20">
        <f>SUM(BF13:BI13)</f>
        <v>3499</v>
      </c>
      <c r="N13" s="20">
        <f t="shared" si="0"/>
        <v>2531</v>
      </c>
      <c r="O13" s="20">
        <f>SUM(BN13:BQ13)</f>
        <v>5818</v>
      </c>
      <c r="P13" s="20">
        <f>SUM(BR13:BU13)</f>
        <v>4229</v>
      </c>
      <c r="Q13" s="8"/>
      <c r="R13" s="107"/>
      <c r="S13" s="107"/>
      <c r="T13" s="107"/>
      <c r="U13" s="107"/>
      <c r="V13" s="107">
        <v>140</v>
      </c>
      <c r="W13" s="107">
        <v>137</v>
      </c>
      <c r="X13" s="107">
        <v>188</v>
      </c>
      <c r="Y13" s="107">
        <v>329</v>
      </c>
      <c r="Z13" s="107">
        <v>255</v>
      </c>
      <c r="AA13" s="107">
        <v>362</v>
      </c>
      <c r="AB13" s="107">
        <v>368</v>
      </c>
      <c r="AC13" s="107">
        <v>430</v>
      </c>
      <c r="AD13" s="107">
        <v>396</v>
      </c>
      <c r="AE13" s="107">
        <v>464</v>
      </c>
      <c r="AF13" s="107">
        <v>542</v>
      </c>
      <c r="AG13" s="107">
        <v>624</v>
      </c>
      <c r="AH13" s="107">
        <v>115</v>
      </c>
      <c r="AI13" s="107">
        <v>167</v>
      </c>
      <c r="AJ13" s="107">
        <v>376</v>
      </c>
      <c r="AK13" s="107">
        <v>526</v>
      </c>
      <c r="AL13" s="107">
        <v>519</v>
      </c>
      <c r="AM13" s="107">
        <v>391</v>
      </c>
      <c r="AN13" s="107">
        <v>449</v>
      </c>
      <c r="AO13" s="107">
        <v>688</v>
      </c>
      <c r="AP13" s="107">
        <v>466</v>
      </c>
      <c r="AQ13" s="107">
        <v>771</v>
      </c>
      <c r="AR13" s="107">
        <v>817</v>
      </c>
      <c r="AS13" s="107">
        <v>1303</v>
      </c>
      <c r="AT13" s="107">
        <v>1018</v>
      </c>
      <c r="AU13" s="107">
        <v>1052</v>
      </c>
      <c r="AV13" s="107">
        <v>1203</v>
      </c>
      <c r="AW13" s="107">
        <v>1754</v>
      </c>
      <c r="AX13" s="107">
        <v>1281</v>
      </c>
      <c r="AY13" s="107">
        <v>1094</v>
      </c>
      <c r="AZ13" s="107">
        <v>930</v>
      </c>
      <c r="BA13" s="107">
        <v>1031</v>
      </c>
      <c r="BB13" s="107">
        <v>830</v>
      </c>
      <c r="BC13" s="107">
        <v>686</v>
      </c>
      <c r="BD13" s="107">
        <v>1260</v>
      </c>
      <c r="BE13" s="107">
        <v>1392</v>
      </c>
      <c r="BF13" s="107">
        <v>730</v>
      </c>
      <c r="BG13" s="19">
        <v>1077</v>
      </c>
      <c r="BH13" s="19">
        <v>734</v>
      </c>
      <c r="BI13" s="19">
        <v>958</v>
      </c>
      <c r="BJ13" s="19">
        <v>622</v>
      </c>
      <c r="BK13" s="19">
        <v>299</v>
      </c>
      <c r="BL13" s="19">
        <v>580</v>
      </c>
      <c r="BM13" s="19">
        <v>1030</v>
      </c>
      <c r="BN13" s="19">
        <v>733</v>
      </c>
      <c r="BO13" s="19">
        <v>1134</v>
      </c>
      <c r="BP13" s="19">
        <v>1638</v>
      </c>
      <c r="BQ13" s="62">
        <v>2313</v>
      </c>
      <c r="BR13" s="62">
        <v>939</v>
      </c>
      <c r="BS13" s="62">
        <v>1637</v>
      </c>
      <c r="BT13" s="62">
        <f>992</f>
        <v>992</v>
      </c>
      <c r="BU13" s="62">
        <f>661</f>
        <v>661</v>
      </c>
      <c r="BV13" s="62">
        <f>582</f>
        <v>582</v>
      </c>
      <c r="BW13" s="62">
        <f>782</f>
        <v>782</v>
      </c>
      <c r="BX13" s="62">
        <f>609</f>
        <v>609</v>
      </c>
    </row>
    <row r="14" spans="1:76" x14ac:dyDescent="0.2">
      <c r="A14" s="8" t="s">
        <v>70</v>
      </c>
      <c r="B14" s="108" t="s">
        <v>4</v>
      </c>
      <c r="C14" s="20"/>
      <c r="D14" s="20">
        <f>D13/D12*100</f>
        <v>13.696739692944625</v>
      </c>
      <c r="E14" s="20">
        <f t="shared" ref="E14:L14" si="1">E13/E12*100</f>
        <v>20.578824898196626</v>
      </c>
      <c r="F14" s="20">
        <f t="shared" si="1"/>
        <v>22.39911553344389</v>
      </c>
      <c r="G14" s="20">
        <f t="shared" si="1"/>
        <v>15.100114781277899</v>
      </c>
      <c r="H14" s="20">
        <f t="shared" si="1"/>
        <v>21.345151199165798</v>
      </c>
      <c r="I14" s="20">
        <f t="shared" si="1"/>
        <v>33.854376764824529</v>
      </c>
      <c r="J14" s="20">
        <f t="shared" si="1"/>
        <v>40.830084470435345</v>
      </c>
      <c r="K14" s="20">
        <f t="shared" si="1"/>
        <v>36.013289036544847</v>
      </c>
      <c r="L14" s="20">
        <f t="shared" si="1"/>
        <v>42.858611825192803</v>
      </c>
      <c r="M14" s="20">
        <f>M13/M12*100</f>
        <v>40.876168224299064</v>
      </c>
      <c r="N14" s="20">
        <f>N13/N12*100</f>
        <v>39.197769862165096</v>
      </c>
      <c r="O14" s="20">
        <f>O13/O12*100</f>
        <v>49.77329112841133</v>
      </c>
      <c r="P14" s="20">
        <f>P13/P12*100</f>
        <v>29.565156599552573</v>
      </c>
      <c r="Q14" s="8"/>
      <c r="R14" s="107">
        <v>6</v>
      </c>
      <c r="S14" s="107">
        <v>11</v>
      </c>
      <c r="T14" s="107">
        <v>7.0000000000000009</v>
      </c>
      <c r="U14" s="107">
        <v>16</v>
      </c>
      <c r="V14" s="107">
        <v>10</v>
      </c>
      <c r="W14" s="107">
        <v>10</v>
      </c>
      <c r="X14" s="107">
        <v>13</v>
      </c>
      <c r="Y14" s="107">
        <v>18</v>
      </c>
      <c r="Z14" s="107">
        <v>18</v>
      </c>
      <c r="AA14" s="107">
        <v>24</v>
      </c>
      <c r="AB14" s="107">
        <v>21</v>
      </c>
      <c r="AC14" s="107">
        <v>20</v>
      </c>
      <c r="AD14" s="107">
        <v>17</v>
      </c>
      <c r="AE14" s="107">
        <v>23</v>
      </c>
      <c r="AF14" s="107">
        <v>28</v>
      </c>
      <c r="AG14" s="107">
        <v>23</v>
      </c>
      <c r="AH14" s="107">
        <v>11</v>
      </c>
      <c r="AI14" s="107">
        <v>20</v>
      </c>
      <c r="AJ14" s="107">
        <v>15</v>
      </c>
      <c r="AK14" s="107">
        <v>15</v>
      </c>
      <c r="AL14" s="107">
        <v>20</v>
      </c>
      <c r="AM14" s="107">
        <v>21</v>
      </c>
      <c r="AN14" s="107">
        <v>22</v>
      </c>
      <c r="AO14" s="107">
        <v>23</v>
      </c>
      <c r="AP14" s="107">
        <v>22</v>
      </c>
      <c r="AQ14" s="107">
        <v>33</v>
      </c>
      <c r="AR14" s="107">
        <v>35</v>
      </c>
      <c r="AS14" s="107">
        <v>41</v>
      </c>
      <c r="AT14" s="107">
        <v>40</v>
      </c>
      <c r="AU14" s="107">
        <v>42</v>
      </c>
      <c r="AV14" s="107">
        <v>41</v>
      </c>
      <c r="AW14" s="107">
        <v>41</v>
      </c>
      <c r="AX14" s="107">
        <v>37</v>
      </c>
      <c r="AY14" s="107">
        <v>36</v>
      </c>
      <c r="AZ14" s="107">
        <v>36</v>
      </c>
      <c r="BA14" s="107">
        <v>35</v>
      </c>
      <c r="BB14" s="107">
        <v>36</v>
      </c>
      <c r="BC14" s="107">
        <v>44</v>
      </c>
      <c r="BD14" s="107">
        <v>47</v>
      </c>
      <c r="BE14" s="107">
        <v>44</v>
      </c>
      <c r="BF14" s="107">
        <v>37</v>
      </c>
      <c r="BG14" s="19">
        <v>47</v>
      </c>
      <c r="BH14" s="19">
        <v>39</v>
      </c>
      <c r="BI14" s="19">
        <v>40</v>
      </c>
      <c r="BJ14" s="19">
        <v>33</v>
      </c>
      <c r="BK14" s="19">
        <v>25</v>
      </c>
      <c r="BL14" s="19">
        <v>37</v>
      </c>
      <c r="BM14" s="19">
        <v>58</v>
      </c>
      <c r="BN14" s="19">
        <v>47.138263665594856</v>
      </c>
      <c r="BO14" s="19">
        <v>50.066225165562919</v>
      </c>
      <c r="BP14" s="19">
        <v>48.997906072390066</v>
      </c>
      <c r="BQ14" s="62">
        <v>51</v>
      </c>
      <c r="BR14" s="62">
        <v>25</v>
      </c>
      <c r="BS14" s="62">
        <v>45</v>
      </c>
      <c r="BT14" s="62">
        <f>29</f>
        <v>29</v>
      </c>
      <c r="BU14" s="62">
        <f>19</f>
        <v>19</v>
      </c>
      <c r="BV14" s="62">
        <v>14</v>
      </c>
      <c r="BW14" s="62">
        <f>32</f>
        <v>32</v>
      </c>
      <c r="BX14" s="62">
        <f>22</f>
        <v>22</v>
      </c>
    </row>
    <row r="15" spans="1:76" x14ac:dyDescent="0.2">
      <c r="A15" s="22"/>
      <c r="B15" s="6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8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19"/>
      <c r="BG15" s="19"/>
      <c r="BH15" s="19"/>
      <c r="BI15" s="19"/>
      <c r="BJ15" s="8"/>
      <c r="BK15" s="8"/>
      <c r="BL15" s="8"/>
      <c r="BM15" s="8"/>
      <c r="BN15" s="8"/>
      <c r="BO15" s="8"/>
      <c r="BP15" s="8"/>
      <c r="BS15" s="5"/>
      <c r="BT15" s="5"/>
      <c r="BU15" s="62"/>
      <c r="BV15" s="62"/>
      <c r="BW15" s="62"/>
      <c r="BX15" s="62"/>
    </row>
    <row r="16" spans="1:76" x14ac:dyDescent="0.2">
      <c r="A16" s="12" t="s">
        <v>71</v>
      </c>
      <c r="B16" s="6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8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19"/>
      <c r="BG16" s="19"/>
      <c r="BH16" s="19"/>
      <c r="BI16" s="19"/>
      <c r="BJ16" s="8"/>
      <c r="BK16" s="8"/>
      <c r="BL16" s="8"/>
      <c r="BM16" s="8"/>
      <c r="BN16" s="8"/>
      <c r="BO16" s="8"/>
      <c r="BP16" s="8"/>
      <c r="BS16" s="5"/>
      <c r="BT16" s="5"/>
      <c r="BU16" s="62"/>
      <c r="BV16" s="62"/>
      <c r="BW16" s="62"/>
      <c r="BX16" s="62"/>
    </row>
    <row r="17" spans="1:76" x14ac:dyDescent="0.2">
      <c r="A17" s="8" t="s">
        <v>72</v>
      </c>
      <c r="B17" s="6" t="s">
        <v>74</v>
      </c>
      <c r="C17" s="20">
        <f>SUM(R17:U17)</f>
        <v>270012</v>
      </c>
      <c r="D17" s="20">
        <f>SUM(V17:Y17)</f>
        <v>316466</v>
      </c>
      <c r="E17" s="20">
        <f>SUM(Z17:AC17)</f>
        <v>356075</v>
      </c>
      <c r="F17" s="20">
        <f>SUM(AD17:AG17)</f>
        <v>457055.99999999994</v>
      </c>
      <c r="G17" s="20">
        <f>SUM(AH17:AK17)</f>
        <v>385252.00999999983</v>
      </c>
      <c r="H17" s="20">
        <f>SUM(AL17:AO17)</f>
        <v>496008</v>
      </c>
      <c r="I17" s="20">
        <f>SUM(AP17:AS17)</f>
        <v>512160.82999999996</v>
      </c>
      <c r="J17" s="20">
        <f>SUM(AT17:AW17)</f>
        <v>627996.36000000057</v>
      </c>
      <c r="K17" s="20">
        <f>SUM(AX17:BA17)</f>
        <v>630399.10999999975</v>
      </c>
      <c r="L17" s="20">
        <f>SUM(BB17:BE17)</f>
        <v>538194.04</v>
      </c>
      <c r="M17" s="20">
        <f>SUM(BF17:BI17)</f>
        <v>446479.84000000008</v>
      </c>
      <c r="N17" s="20">
        <f t="shared" si="0"/>
        <v>292395</v>
      </c>
      <c r="O17" s="20">
        <f>SUM(BN17:BQ17)</f>
        <v>547234.76</v>
      </c>
      <c r="P17" s="20">
        <f>SUM(BR17:BU17)</f>
        <v>699959.08999999985</v>
      </c>
      <c r="Q17" s="8"/>
      <c r="R17" s="20">
        <v>59638</v>
      </c>
      <c r="S17" s="20">
        <v>62544</v>
      </c>
      <c r="T17" s="20">
        <v>63737</v>
      </c>
      <c r="U17" s="20">
        <v>84093</v>
      </c>
      <c r="V17" s="20">
        <v>77726</v>
      </c>
      <c r="W17" s="20">
        <v>69155</v>
      </c>
      <c r="X17" s="20">
        <v>75102</v>
      </c>
      <c r="Y17" s="20">
        <v>94483</v>
      </c>
      <c r="Z17" s="20">
        <v>73481</v>
      </c>
      <c r="AA17" s="20">
        <v>80042</v>
      </c>
      <c r="AB17" s="20">
        <v>92755</v>
      </c>
      <c r="AC17" s="20">
        <v>109797</v>
      </c>
      <c r="AD17" s="20">
        <v>109059.86999999998</v>
      </c>
      <c r="AE17" s="20">
        <v>94914.339999999938</v>
      </c>
      <c r="AF17" s="20">
        <v>106039.39000000001</v>
      </c>
      <c r="AG17" s="20">
        <v>147042.40000000002</v>
      </c>
      <c r="AH17" s="20">
        <v>46989.890000000007</v>
      </c>
      <c r="AI17" s="20">
        <v>41973</v>
      </c>
      <c r="AJ17" s="20">
        <v>121522.17999999996</v>
      </c>
      <c r="AK17" s="20">
        <v>174766.93999999986</v>
      </c>
      <c r="AL17" s="20">
        <v>135003</v>
      </c>
      <c r="AM17" s="20">
        <v>100599</v>
      </c>
      <c r="AN17" s="20">
        <v>106661</v>
      </c>
      <c r="AO17" s="20">
        <v>153745</v>
      </c>
      <c r="AP17" s="20">
        <v>113645.64999999998</v>
      </c>
      <c r="AQ17" s="20">
        <v>122427.20999999999</v>
      </c>
      <c r="AR17" s="20">
        <v>113979.40000000005</v>
      </c>
      <c r="AS17" s="20">
        <v>162108.56999999995</v>
      </c>
      <c r="AT17" s="20">
        <v>134075.34000000008</v>
      </c>
      <c r="AU17" s="20">
        <v>128467.99000000011</v>
      </c>
      <c r="AV17" s="20">
        <v>154096.60000000015</v>
      </c>
      <c r="AW17" s="20">
        <v>211356.43000000023</v>
      </c>
      <c r="AX17" s="20">
        <v>167954.35000000003</v>
      </c>
      <c r="AY17" s="20">
        <v>154257.2699999999</v>
      </c>
      <c r="AZ17" s="20">
        <v>136657.71999999997</v>
      </c>
      <c r="BA17" s="20">
        <v>171529.76999999981</v>
      </c>
      <c r="BB17" s="20">
        <v>125971.07999999997</v>
      </c>
      <c r="BC17" s="20">
        <v>94984.22000000003</v>
      </c>
      <c r="BD17" s="20">
        <v>150450.70000000001</v>
      </c>
      <c r="BE17" s="20">
        <v>166788.04</v>
      </c>
      <c r="BF17" s="19">
        <v>98670.300000000032</v>
      </c>
      <c r="BG17" s="19">
        <v>122269.54000000007</v>
      </c>
      <c r="BH17" s="19">
        <v>96470</v>
      </c>
      <c r="BI17" s="19">
        <v>129070</v>
      </c>
      <c r="BJ17" s="19">
        <v>90439</v>
      </c>
      <c r="BK17" s="19">
        <v>53036</v>
      </c>
      <c r="BL17" s="19">
        <v>66986</v>
      </c>
      <c r="BM17" s="19">
        <v>81934</v>
      </c>
      <c r="BN17" s="19">
        <v>73632.870000000039</v>
      </c>
      <c r="BO17" s="19">
        <v>110647.41</v>
      </c>
      <c r="BP17" s="19">
        <v>156337.03</v>
      </c>
      <c r="BQ17" s="62">
        <v>206617.44999999995</v>
      </c>
      <c r="BR17" s="62">
        <v>189205</v>
      </c>
      <c r="BS17" s="62">
        <v>195951.15999999989</v>
      </c>
      <c r="BT17" s="62">
        <v>157360.99999999997</v>
      </c>
      <c r="BU17" s="62">
        <v>157441.93</v>
      </c>
      <c r="BV17" s="62">
        <v>192077</v>
      </c>
      <c r="BW17" s="62">
        <v>103677.55000000002</v>
      </c>
      <c r="BX17" s="62">
        <f>175226</f>
        <v>175226</v>
      </c>
    </row>
    <row r="18" spans="1:76" x14ac:dyDescent="0.2">
      <c r="A18" s="192" t="s">
        <v>73</v>
      </c>
      <c r="B18" s="23" t="s">
        <v>74</v>
      </c>
      <c r="C18" s="24">
        <v>328435</v>
      </c>
      <c r="D18" s="24">
        <v>363120</v>
      </c>
      <c r="E18" s="24">
        <v>468248</v>
      </c>
      <c r="F18" s="24">
        <v>583483</v>
      </c>
      <c r="G18" s="24">
        <v>502203</v>
      </c>
      <c r="H18" s="24">
        <v>420325</v>
      </c>
      <c r="I18" s="24">
        <f>SUM(AP18:AS18)</f>
        <v>422946</v>
      </c>
      <c r="J18" s="24">
        <f>SUM(AT18:AW18)</f>
        <v>479339</v>
      </c>
      <c r="K18" s="24">
        <f>SUM(AX18:BA18)</f>
        <v>621866.93999999994</v>
      </c>
      <c r="L18" s="24">
        <f>SUM(BB18:BE18)</f>
        <v>540325.10000000009</v>
      </c>
      <c r="M18" s="24">
        <f>SUM(BF18:BI18)</f>
        <v>421209.4</v>
      </c>
      <c r="N18" s="24">
        <f t="shared" si="0"/>
        <v>734773</v>
      </c>
      <c r="O18" s="24">
        <f>SUM(BN18:BQ18)</f>
        <v>416726.2</v>
      </c>
      <c r="P18" s="24">
        <f>SUM(BR18:BU18)</f>
        <v>161232</v>
      </c>
      <c r="Q18" s="8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>
        <v>0</v>
      </c>
      <c r="AQ18" s="24">
        <v>107796.6</v>
      </c>
      <c r="AR18" s="24">
        <v>19771.7</v>
      </c>
      <c r="AS18" s="24">
        <v>295377.7</v>
      </c>
      <c r="AT18" s="24">
        <v>0</v>
      </c>
      <c r="AU18" s="24">
        <v>0</v>
      </c>
      <c r="AV18" s="24">
        <v>56270</v>
      </c>
      <c r="AW18" s="24">
        <v>423069</v>
      </c>
      <c r="AX18" s="24">
        <v>34538.639999999999</v>
      </c>
      <c r="AY18" s="24">
        <v>211804.59999999998</v>
      </c>
      <c r="AZ18" s="24">
        <v>67230.100000000006</v>
      </c>
      <c r="BA18" s="24">
        <v>308293.60000000003</v>
      </c>
      <c r="BB18" s="24">
        <v>88512.6</v>
      </c>
      <c r="BC18" s="24">
        <v>88846.8</v>
      </c>
      <c r="BD18" s="24">
        <v>15569.7</v>
      </c>
      <c r="BE18" s="24">
        <v>347396</v>
      </c>
      <c r="BF18" s="25">
        <v>3028.4</v>
      </c>
      <c r="BG18" s="25">
        <v>0</v>
      </c>
      <c r="BH18" s="25">
        <v>181071</v>
      </c>
      <c r="BI18" s="25">
        <v>237110</v>
      </c>
      <c r="BJ18" s="25">
        <v>175693</v>
      </c>
      <c r="BK18" s="25">
        <v>58981</v>
      </c>
      <c r="BL18" s="25">
        <v>100377</v>
      </c>
      <c r="BM18" s="25">
        <v>399722</v>
      </c>
      <c r="BN18" s="25">
        <v>88068.2</v>
      </c>
      <c r="BO18" s="25">
        <v>107671.70000000001</v>
      </c>
      <c r="BP18" s="25">
        <v>43235.3</v>
      </c>
      <c r="BQ18" s="25">
        <v>177751</v>
      </c>
      <c r="BR18" s="25">
        <v>0</v>
      </c>
      <c r="BS18" s="25">
        <f>50919</f>
        <v>50919</v>
      </c>
      <c r="BT18" s="25">
        <f>35495</f>
        <v>35495</v>
      </c>
      <c r="BU18" s="25">
        <f>74818</f>
        <v>74818</v>
      </c>
      <c r="BV18" s="25">
        <v>73153</v>
      </c>
      <c r="BW18" s="25">
        <f>90700</f>
        <v>90700</v>
      </c>
      <c r="BX18" s="25">
        <f>149778</f>
        <v>149778</v>
      </c>
    </row>
    <row r="19" spans="1:76" x14ac:dyDescent="0.2">
      <c r="A19" s="65"/>
      <c r="B19" s="6"/>
      <c r="C19" s="9"/>
      <c r="D19" s="9"/>
      <c r="E19" s="9"/>
      <c r="F19" s="9"/>
      <c r="G19" s="9"/>
      <c r="H19" s="9"/>
      <c r="I19" s="9"/>
      <c r="J19" s="8"/>
      <c r="K19" s="8"/>
      <c r="L19" s="8"/>
      <c r="M19" s="8"/>
      <c r="N19" s="8"/>
      <c r="O19" s="8"/>
      <c r="P19" s="8"/>
      <c r="Q19" s="8"/>
      <c r="R19" s="8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</row>
    <row r="20" spans="1:76" x14ac:dyDescent="0.2">
      <c r="A20" s="65"/>
      <c r="B20" s="6"/>
      <c r="C20" s="7"/>
      <c r="D20" s="7"/>
      <c r="E20" s="7"/>
      <c r="F20" s="7"/>
      <c r="G20" s="7"/>
      <c r="H20" s="7"/>
      <c r="I20" s="7"/>
      <c r="J20" s="7"/>
      <c r="K20" s="7"/>
      <c r="L20" s="7"/>
      <c r="M20" s="8"/>
      <c r="N20" s="8"/>
      <c r="O20" s="8"/>
      <c r="P20" s="8"/>
      <c r="Q20" s="8"/>
      <c r="R20" s="8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G20" s="8"/>
      <c r="BH20" s="8"/>
      <c r="BI20" s="8"/>
      <c r="BJ20" s="8"/>
      <c r="BK20" s="8"/>
      <c r="BL20" s="8"/>
    </row>
    <row r="21" spans="1:76" ht="18" x14ac:dyDescent="0.25">
      <c r="A21" s="51" t="s">
        <v>38</v>
      </c>
      <c r="B21" s="6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8"/>
      <c r="N21" s="8"/>
      <c r="O21" s="8"/>
      <c r="P21" s="8"/>
      <c r="Q21" s="8"/>
      <c r="R21" s="8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</row>
    <row r="22" spans="1:76" ht="15" x14ac:dyDescent="0.25">
      <c r="A22" s="163" t="s">
        <v>44</v>
      </c>
      <c r="B22" s="6"/>
      <c r="C22" s="9"/>
      <c r="D22" s="9"/>
      <c r="E22" s="9"/>
      <c r="F22" s="9"/>
      <c r="G22" s="9"/>
      <c r="H22" s="9"/>
      <c r="I22" s="9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</row>
    <row r="23" spans="1:76" x14ac:dyDescent="0.2">
      <c r="A23" s="65"/>
      <c r="B23" s="6"/>
      <c r="C23" s="9"/>
      <c r="D23" s="9"/>
      <c r="E23" s="9"/>
      <c r="F23" s="9"/>
      <c r="G23" s="9"/>
      <c r="H23" s="9"/>
      <c r="I23" s="9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</row>
    <row r="24" spans="1:76" x14ac:dyDescent="0.2">
      <c r="A24" s="18"/>
      <c r="B24" s="103"/>
      <c r="C24" s="104">
        <v>2011</v>
      </c>
      <c r="D24" s="104">
        <v>2012</v>
      </c>
      <c r="E24" s="104">
        <v>2013</v>
      </c>
      <c r="F24" s="104">
        <v>2014</v>
      </c>
      <c r="G24" s="104">
        <v>2015</v>
      </c>
      <c r="H24" s="104">
        <v>2016</v>
      </c>
      <c r="I24" s="104">
        <v>2017</v>
      </c>
      <c r="J24" s="104">
        <v>2018</v>
      </c>
      <c r="K24" s="104">
        <v>2019</v>
      </c>
      <c r="L24" s="104">
        <v>2020</v>
      </c>
      <c r="M24" s="104">
        <v>2021</v>
      </c>
      <c r="N24" s="104">
        <f>N5</f>
        <v>2022</v>
      </c>
      <c r="O24" s="104">
        <f>O5</f>
        <v>2023</v>
      </c>
      <c r="P24" s="104">
        <f>P5</f>
        <v>2024</v>
      </c>
      <c r="Q24" s="105"/>
      <c r="R24" s="106" t="s">
        <v>82</v>
      </c>
      <c r="S24" s="106" t="s">
        <v>83</v>
      </c>
      <c r="T24" s="106" t="s">
        <v>84</v>
      </c>
      <c r="U24" s="106" t="s">
        <v>85</v>
      </c>
      <c r="V24" s="106" t="s">
        <v>86</v>
      </c>
      <c r="W24" s="106" t="s">
        <v>87</v>
      </c>
      <c r="X24" s="106" t="s">
        <v>88</v>
      </c>
      <c r="Y24" s="106" t="s">
        <v>89</v>
      </c>
      <c r="Z24" s="106" t="s">
        <v>90</v>
      </c>
      <c r="AA24" s="106" t="s">
        <v>91</v>
      </c>
      <c r="AB24" s="106" t="s">
        <v>92</v>
      </c>
      <c r="AC24" s="106" t="s">
        <v>93</v>
      </c>
      <c r="AD24" s="106" t="s">
        <v>94</v>
      </c>
      <c r="AE24" s="106" t="s">
        <v>95</v>
      </c>
      <c r="AF24" s="106" t="s">
        <v>96</v>
      </c>
      <c r="AG24" s="106" t="s">
        <v>97</v>
      </c>
      <c r="AH24" s="106" t="s">
        <v>98</v>
      </c>
      <c r="AI24" s="106" t="s">
        <v>99</v>
      </c>
      <c r="AJ24" s="106" t="s">
        <v>100</v>
      </c>
      <c r="AK24" s="106" t="s">
        <v>101</v>
      </c>
      <c r="AL24" s="106" t="s">
        <v>102</v>
      </c>
      <c r="AM24" s="106" t="s">
        <v>103</v>
      </c>
      <c r="AN24" s="106" t="s">
        <v>104</v>
      </c>
      <c r="AO24" s="106" t="s">
        <v>105</v>
      </c>
      <c r="AP24" s="106" t="s">
        <v>106</v>
      </c>
      <c r="AQ24" s="106" t="s">
        <v>107</v>
      </c>
      <c r="AR24" s="106" t="s">
        <v>108</v>
      </c>
      <c r="AS24" s="106" t="s">
        <v>109</v>
      </c>
      <c r="AT24" s="106" t="s">
        <v>110</v>
      </c>
      <c r="AU24" s="106" t="s">
        <v>111</v>
      </c>
      <c r="AV24" s="106" t="s">
        <v>112</v>
      </c>
      <c r="AW24" s="106" t="s">
        <v>113</v>
      </c>
      <c r="AX24" s="106" t="s">
        <v>114</v>
      </c>
      <c r="AY24" s="106" t="s">
        <v>115</v>
      </c>
      <c r="AZ24" s="106" t="s">
        <v>116</v>
      </c>
      <c r="BA24" s="106" t="s">
        <v>117</v>
      </c>
      <c r="BB24" s="106" t="s">
        <v>118</v>
      </c>
      <c r="BC24" s="106" t="s">
        <v>119</v>
      </c>
      <c r="BD24" s="106" t="s">
        <v>120</v>
      </c>
      <c r="BE24" s="106" t="s">
        <v>121</v>
      </c>
      <c r="BF24" s="106" t="s">
        <v>122</v>
      </c>
      <c r="BG24" s="106" t="s">
        <v>123</v>
      </c>
      <c r="BH24" s="106" t="s">
        <v>124</v>
      </c>
      <c r="BI24" s="106" t="s">
        <v>125</v>
      </c>
      <c r="BJ24" s="106" t="s">
        <v>126</v>
      </c>
      <c r="BK24" s="106" t="s">
        <v>127</v>
      </c>
      <c r="BL24" s="106" t="s">
        <v>128</v>
      </c>
      <c r="BM24" s="106" t="s">
        <v>129</v>
      </c>
      <c r="BN24" s="106" t="str">
        <f>BN5</f>
        <v>1 кв. 2023</v>
      </c>
      <c r="BO24" s="106" t="str">
        <f t="shared" ref="BO24:BP24" si="2">BO5</f>
        <v>2 кв. 2023</v>
      </c>
      <c r="BP24" s="106" t="str">
        <f t="shared" si="2"/>
        <v>3 кв. 2023</v>
      </c>
      <c r="BQ24" s="106" t="s">
        <v>130</v>
      </c>
      <c r="BR24" s="106" t="s">
        <v>131</v>
      </c>
      <c r="BS24" s="106" t="s">
        <v>379</v>
      </c>
      <c r="BT24" s="106" t="s">
        <v>400</v>
      </c>
      <c r="BU24" s="106" t="s">
        <v>401</v>
      </c>
      <c r="BV24" s="106" t="s">
        <v>412</v>
      </c>
      <c r="BW24" s="106" t="s">
        <v>469</v>
      </c>
      <c r="BX24" s="106" t="s">
        <v>479</v>
      </c>
    </row>
    <row r="25" spans="1:76" x14ac:dyDescent="0.2">
      <c r="A25" s="4" t="s">
        <v>64</v>
      </c>
      <c r="B25" s="6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8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BH25" s="19"/>
      <c r="BI25" s="19"/>
      <c r="BJ25" s="8"/>
      <c r="BK25" s="8"/>
      <c r="BL25" s="8"/>
      <c r="BS25" s="5"/>
      <c r="BT25" s="5"/>
    </row>
    <row r="26" spans="1:76" x14ac:dyDescent="0.2">
      <c r="A26" s="26" t="s">
        <v>81</v>
      </c>
      <c r="B26" s="6" t="s">
        <v>57</v>
      </c>
      <c r="C26" s="27">
        <f>SUM(R26:U26)</f>
        <v>18306</v>
      </c>
      <c r="D26" s="27">
        <f>SUM(V26:Y26)</f>
        <v>23739</v>
      </c>
      <c r="E26" s="27">
        <f>SUM(Z26:AC26)</f>
        <v>30227</v>
      </c>
      <c r="F26" s="27">
        <f>SUM(AD26:AG26)</f>
        <v>39961</v>
      </c>
      <c r="G26" s="27">
        <f>SUM(AH26:AK26)</f>
        <v>35080</v>
      </c>
      <c r="H26" s="27">
        <f>SUM(AL26:AO26)</f>
        <v>47444</v>
      </c>
      <c r="I26" s="27">
        <f>SUM(AP26:AS26)</f>
        <v>50240</v>
      </c>
      <c r="J26" s="27">
        <f t="shared" ref="J26:J32" si="3">SUM(AT26:AW26)</f>
        <v>68731.252889259995</v>
      </c>
      <c r="K26" s="27">
        <f t="shared" ref="K26:K32" si="4">SUM(AX26:BA26)</f>
        <v>77627.406625240008</v>
      </c>
      <c r="L26" s="27">
        <f t="shared" ref="L26:L32" si="5">SUM(BB26:BE26)</f>
        <v>79922.186658060004</v>
      </c>
      <c r="M26" s="27">
        <f t="shared" ref="M26:M32" si="6">SUM(BF26:BI26)</f>
        <v>84387.99390999999</v>
      </c>
      <c r="N26" s="27">
        <f>SUM(BJ26:BM26)</f>
        <v>58652</v>
      </c>
      <c r="O26" s="27">
        <f t="shared" ref="O26:O33" si="7">SUM(BN26:BQ26)</f>
        <v>105563.58845944001</v>
      </c>
      <c r="P26" s="27">
        <f>SUM(BR26:BU26)</f>
        <v>146241</v>
      </c>
      <c r="Q26" s="26"/>
      <c r="R26" s="27">
        <v>4158</v>
      </c>
      <c r="S26" s="27">
        <v>3781</v>
      </c>
      <c r="T26" s="27">
        <v>4336</v>
      </c>
      <c r="U26" s="27">
        <v>6031</v>
      </c>
      <c r="V26" s="27">
        <v>5566</v>
      </c>
      <c r="W26" s="27">
        <v>5195</v>
      </c>
      <c r="X26" s="27">
        <v>5563</v>
      </c>
      <c r="Y26" s="27">
        <v>7415</v>
      </c>
      <c r="Z26" s="27">
        <v>5923</v>
      </c>
      <c r="AA26" s="27">
        <v>6746</v>
      </c>
      <c r="AB26" s="27">
        <v>8152</v>
      </c>
      <c r="AC26" s="27">
        <v>9406</v>
      </c>
      <c r="AD26" s="27">
        <v>9077</v>
      </c>
      <c r="AE26" s="27">
        <v>8095</v>
      </c>
      <c r="AF26" s="27">
        <v>9480</v>
      </c>
      <c r="AG26" s="27">
        <v>13309</v>
      </c>
      <c r="AH26" s="27">
        <v>3804</v>
      </c>
      <c r="AI26" s="27">
        <v>4110</v>
      </c>
      <c r="AJ26" s="27">
        <v>11392</v>
      </c>
      <c r="AK26" s="27">
        <v>15774</v>
      </c>
      <c r="AL26" s="27">
        <v>12860</v>
      </c>
      <c r="AM26" s="27">
        <v>10284</v>
      </c>
      <c r="AN26" s="27">
        <v>10575</v>
      </c>
      <c r="AO26" s="27">
        <v>13725</v>
      </c>
      <c r="AP26" s="27">
        <v>10248</v>
      </c>
      <c r="AQ26" s="27">
        <v>11346</v>
      </c>
      <c r="AR26" s="27">
        <v>11970</v>
      </c>
      <c r="AS26" s="27">
        <v>16676</v>
      </c>
      <c r="AT26" s="27">
        <v>13605.154832299999</v>
      </c>
      <c r="AU26" s="27">
        <v>13881.61159593</v>
      </c>
      <c r="AV26" s="27">
        <v>16798.903380110001</v>
      </c>
      <c r="AW26" s="27">
        <v>24445.583080919998</v>
      </c>
      <c r="AX26" s="27">
        <f t="shared" ref="AX26:BG26" si="8">SUM(AX27:AX28)</f>
        <v>19952.326535440006</v>
      </c>
      <c r="AY26" s="27">
        <f t="shared" si="8"/>
        <v>18782.154632409998</v>
      </c>
      <c r="AZ26" s="27">
        <f t="shared" si="8"/>
        <v>17098.350112380002</v>
      </c>
      <c r="BA26" s="27">
        <f t="shared" si="8"/>
        <v>21794.575345010002</v>
      </c>
      <c r="BB26" s="27">
        <f t="shared" si="8"/>
        <v>17936.319567000002</v>
      </c>
      <c r="BC26" s="27">
        <f t="shared" si="8"/>
        <v>11585.362794000001</v>
      </c>
      <c r="BD26" s="27">
        <f t="shared" si="8"/>
        <v>23982.568796</v>
      </c>
      <c r="BE26" s="27">
        <f t="shared" si="8"/>
        <v>26417.935501059997</v>
      </c>
      <c r="BF26" s="27">
        <f t="shared" si="8"/>
        <v>16214.395377000001</v>
      </c>
      <c r="BG26" s="27">
        <f t="shared" si="8"/>
        <v>24932.598532999997</v>
      </c>
      <c r="BH26" s="28">
        <v>18390</v>
      </c>
      <c r="BI26" s="28">
        <v>24851</v>
      </c>
      <c r="BJ26" s="28">
        <v>19681</v>
      </c>
      <c r="BK26" s="28">
        <v>9638</v>
      </c>
      <c r="BL26" s="28">
        <v>13329</v>
      </c>
      <c r="BM26" s="63">
        <v>16004</v>
      </c>
      <c r="BN26" s="63">
        <f>BN7</f>
        <v>13436.384795000002</v>
      </c>
      <c r="BO26" s="63">
        <f t="shared" ref="BO26:BQ26" si="9">BO7</f>
        <v>20566.103885999997</v>
      </c>
      <c r="BP26" s="63">
        <f t="shared" si="9"/>
        <v>31169.099778440002</v>
      </c>
      <c r="BQ26" s="63">
        <f t="shared" si="9"/>
        <v>40392</v>
      </c>
      <c r="BR26" s="63">
        <v>40965</v>
      </c>
      <c r="BS26" s="63">
        <v>37627</v>
      </c>
      <c r="BT26" s="63">
        <f>36948</f>
        <v>36948</v>
      </c>
      <c r="BU26" s="63">
        <f>30701</f>
        <v>30701</v>
      </c>
      <c r="BV26" s="63">
        <f>37377</f>
        <v>37377</v>
      </c>
      <c r="BW26" s="63">
        <f>24824</f>
        <v>24824</v>
      </c>
      <c r="BX26" s="63">
        <f>46855</f>
        <v>46855</v>
      </c>
    </row>
    <row r="27" spans="1:76" x14ac:dyDescent="0.2">
      <c r="A27" s="21" t="s">
        <v>135</v>
      </c>
      <c r="B27" s="6" t="s">
        <v>57</v>
      </c>
      <c r="C27" s="20"/>
      <c r="D27" s="20"/>
      <c r="E27" s="20"/>
      <c r="F27" s="20"/>
      <c r="G27" s="20"/>
      <c r="H27" s="20"/>
      <c r="I27" s="20"/>
      <c r="J27" s="20">
        <f t="shared" si="3"/>
        <v>34266</v>
      </c>
      <c r="K27" s="20">
        <f t="shared" si="4"/>
        <v>43180.279834750007</v>
      </c>
      <c r="L27" s="20">
        <f t="shared" si="5"/>
        <v>46743.44769406</v>
      </c>
      <c r="M27" s="20">
        <f t="shared" si="6"/>
        <v>54052.761195999999</v>
      </c>
      <c r="N27" s="20">
        <f t="shared" ref="N27:N50" si="10">SUM(BJ27:BM27)</f>
        <v>32296</v>
      </c>
      <c r="O27" s="20">
        <f t="shared" si="7"/>
        <v>58068.222750470006</v>
      </c>
      <c r="P27" s="20">
        <f t="shared" ref="P27:P33" si="11">SUM(BR27:BU27)</f>
        <v>74735.384345999992</v>
      </c>
      <c r="Q27" s="8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>
        <v>6342</v>
      </c>
      <c r="AU27" s="20">
        <v>6671</v>
      </c>
      <c r="AV27" s="20">
        <v>8453</v>
      </c>
      <c r="AW27" s="20">
        <v>12800</v>
      </c>
      <c r="AX27" s="20">
        <v>11601.924496440004</v>
      </c>
      <c r="AY27" s="20">
        <v>10877.05207541</v>
      </c>
      <c r="AZ27" s="20">
        <v>10050.512491379999</v>
      </c>
      <c r="BA27" s="20">
        <v>10650.79077152</v>
      </c>
      <c r="BB27" s="20">
        <v>10141.073105000001</v>
      </c>
      <c r="BC27" s="20">
        <v>5745.7992039999999</v>
      </c>
      <c r="BD27" s="20">
        <v>15541.945221000002</v>
      </c>
      <c r="BE27" s="20">
        <v>15314.63016406</v>
      </c>
      <c r="BF27" s="20">
        <v>9450.5745100000004</v>
      </c>
      <c r="BG27" s="20">
        <v>18431.186685999997</v>
      </c>
      <c r="BH27" s="19">
        <v>11303</v>
      </c>
      <c r="BI27" s="19">
        <v>14868</v>
      </c>
      <c r="BJ27" s="19">
        <v>11793</v>
      </c>
      <c r="BK27" s="19">
        <v>5720</v>
      </c>
      <c r="BL27" s="19">
        <v>7100</v>
      </c>
      <c r="BM27" s="19">
        <v>7683</v>
      </c>
      <c r="BN27" s="19">
        <v>7136.6284859999996</v>
      </c>
      <c r="BO27" s="19">
        <v>10352.425899</v>
      </c>
      <c r="BP27" s="19">
        <v>18168.306126470001</v>
      </c>
      <c r="BQ27" s="19">
        <v>22410.862239000002</v>
      </c>
      <c r="BR27" s="19">
        <v>26513.054758999999</v>
      </c>
      <c r="BS27" s="19">
        <v>17573.646098999998</v>
      </c>
      <c r="BT27" s="19">
        <v>17475.174886000001</v>
      </c>
      <c r="BU27" s="19">
        <v>13173.508602</v>
      </c>
      <c r="BV27" s="19">
        <f>19152</f>
        <v>19152</v>
      </c>
      <c r="BW27" s="19">
        <f>11600</f>
        <v>11600</v>
      </c>
      <c r="BX27" s="19">
        <f>30048</f>
        <v>30048</v>
      </c>
    </row>
    <row r="28" spans="1:76" x14ac:dyDescent="0.2">
      <c r="A28" s="21" t="s">
        <v>136</v>
      </c>
      <c r="B28" s="6" t="s">
        <v>57</v>
      </c>
      <c r="C28" s="20"/>
      <c r="D28" s="20"/>
      <c r="E28" s="20"/>
      <c r="F28" s="20"/>
      <c r="G28" s="20"/>
      <c r="H28" s="20"/>
      <c r="I28" s="20"/>
      <c r="J28" s="20">
        <f t="shared" si="3"/>
        <v>34465</v>
      </c>
      <c r="K28" s="20">
        <f t="shared" si="4"/>
        <v>34447.126790490001</v>
      </c>
      <c r="L28" s="20">
        <f t="shared" si="5"/>
        <v>33178.738963999996</v>
      </c>
      <c r="M28" s="20">
        <f t="shared" si="6"/>
        <v>30335.232713999998</v>
      </c>
      <c r="N28" s="20">
        <f t="shared" si="10"/>
        <v>20944</v>
      </c>
      <c r="O28" s="20">
        <f t="shared" si="7"/>
        <v>23739.191398449999</v>
      </c>
      <c r="P28" s="20">
        <f t="shared" si="11"/>
        <v>40829</v>
      </c>
      <c r="Q28" s="8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>
        <v>7264</v>
      </c>
      <c r="AU28" s="20">
        <v>7210</v>
      </c>
      <c r="AV28" s="20">
        <v>8346</v>
      </c>
      <c r="AW28" s="20">
        <v>11645</v>
      </c>
      <c r="AX28" s="20">
        <v>8350.4020390000005</v>
      </c>
      <c r="AY28" s="20">
        <v>7905.1025570000002</v>
      </c>
      <c r="AZ28" s="20">
        <v>7047.8376210000006</v>
      </c>
      <c r="BA28" s="20">
        <v>11143.78457349</v>
      </c>
      <c r="BB28" s="20">
        <v>7795.2464620000001</v>
      </c>
      <c r="BC28" s="20">
        <v>5839.5635899999997</v>
      </c>
      <c r="BD28" s="20">
        <v>8440.6235749999996</v>
      </c>
      <c r="BE28" s="20">
        <v>11103.305337</v>
      </c>
      <c r="BF28" s="20">
        <v>6763.8208670000004</v>
      </c>
      <c r="BG28" s="20">
        <v>6501.4118469999994</v>
      </c>
      <c r="BH28" s="19">
        <v>7088</v>
      </c>
      <c r="BI28" s="19">
        <v>9982</v>
      </c>
      <c r="BJ28" s="19">
        <v>7888</v>
      </c>
      <c r="BK28" s="19">
        <v>3535</v>
      </c>
      <c r="BL28" s="19">
        <v>4482</v>
      </c>
      <c r="BM28" s="62">
        <v>5039</v>
      </c>
      <c r="BN28" s="19">
        <v>3360.8110019999999</v>
      </c>
      <c r="BO28" s="19">
        <v>6149.3626540000005</v>
      </c>
      <c r="BP28" s="19">
        <v>6468.3942924499997</v>
      </c>
      <c r="BQ28" s="19">
        <v>7760.6234499999991</v>
      </c>
      <c r="BR28" s="19">
        <v>6888</v>
      </c>
      <c r="BS28" s="19">
        <v>10366</v>
      </c>
      <c r="BT28" s="19">
        <f>12045</f>
        <v>12045</v>
      </c>
      <c r="BU28" s="19">
        <f>11530</f>
        <v>11530</v>
      </c>
      <c r="BV28" s="19">
        <f>11918</f>
        <v>11918</v>
      </c>
      <c r="BW28" s="19">
        <f>8086</f>
        <v>8086</v>
      </c>
      <c r="BX28" s="19">
        <f>11528</f>
        <v>11528</v>
      </c>
    </row>
    <row r="29" spans="1:76" x14ac:dyDescent="0.2">
      <c r="A29" s="21" t="s">
        <v>137</v>
      </c>
      <c r="B29" s="6" t="s">
        <v>57</v>
      </c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>
        <f>SUM(BJ29:BM29)</f>
        <v>5412</v>
      </c>
      <c r="O29" s="20">
        <f t="shared" si="7"/>
        <v>23756.383300519999</v>
      </c>
      <c r="P29" s="20">
        <f t="shared" si="11"/>
        <v>30677</v>
      </c>
      <c r="Q29" s="8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0"/>
      <c r="BF29" s="20"/>
      <c r="BG29" s="20"/>
      <c r="BH29" s="19"/>
      <c r="BI29" s="19"/>
      <c r="BJ29" s="19"/>
      <c r="BK29" s="19">
        <v>383</v>
      </c>
      <c r="BL29" s="19">
        <v>1747</v>
      </c>
      <c r="BM29" s="19">
        <v>3282</v>
      </c>
      <c r="BN29" s="19">
        <v>2938.9453070000004</v>
      </c>
      <c r="BO29" s="19">
        <v>4064.3153329999996</v>
      </c>
      <c r="BP29" s="19">
        <v>6532.3993595200009</v>
      </c>
      <c r="BQ29" s="19">
        <v>10220.723301</v>
      </c>
      <c r="BR29" s="19">
        <v>7564</v>
      </c>
      <c r="BS29" s="19">
        <v>9687</v>
      </c>
      <c r="BT29" s="19">
        <f>7428</f>
        <v>7428</v>
      </c>
      <c r="BU29" s="19">
        <f>5998</f>
        <v>5998</v>
      </c>
      <c r="BV29" s="19">
        <f>6308</f>
        <v>6308</v>
      </c>
      <c r="BW29" s="19">
        <f>5138</f>
        <v>5138</v>
      </c>
      <c r="BX29" s="19">
        <f>5279</f>
        <v>5279</v>
      </c>
    </row>
    <row r="30" spans="1:76" x14ac:dyDescent="0.2">
      <c r="A30" s="26" t="s">
        <v>65</v>
      </c>
      <c r="B30" s="6" t="s">
        <v>57</v>
      </c>
      <c r="C30" s="27"/>
      <c r="D30" s="27"/>
      <c r="E30" s="27">
        <f>SUM(Z30:AC30)</f>
        <v>26073</v>
      </c>
      <c r="F30" s="27">
        <f>SUM(AD30:AG30)</f>
        <v>35335</v>
      </c>
      <c r="G30" s="27">
        <f>SUM(AH30:AK30)</f>
        <v>25845</v>
      </c>
      <c r="H30" s="27">
        <f>SUM(AL30:AO30)</f>
        <v>39723.422637700001</v>
      </c>
      <c r="I30" s="27">
        <f>SUM(AP30:AS30)</f>
        <v>46147</v>
      </c>
      <c r="J30" s="27">
        <f t="shared" si="3"/>
        <v>62785.436452919996</v>
      </c>
      <c r="K30" s="27">
        <f t="shared" si="4"/>
        <v>77713.387916539999</v>
      </c>
      <c r="L30" s="27">
        <f t="shared" si="5"/>
        <v>81985.030014119999</v>
      </c>
      <c r="M30" s="27">
        <f t="shared" si="6"/>
        <v>84093.78253756999</v>
      </c>
      <c r="N30" s="27">
        <f t="shared" si="10"/>
        <v>50386</v>
      </c>
      <c r="O30" s="27">
        <f t="shared" si="7"/>
        <v>82107.948539289995</v>
      </c>
      <c r="P30" s="27">
        <f t="shared" si="11"/>
        <v>95575.0591441</v>
      </c>
      <c r="Q30" s="26"/>
      <c r="R30" s="27"/>
      <c r="S30" s="27"/>
      <c r="T30" s="27"/>
      <c r="U30" s="27"/>
      <c r="V30" s="27"/>
      <c r="W30" s="27"/>
      <c r="X30" s="27"/>
      <c r="Y30" s="27"/>
      <c r="Z30" s="27">
        <v>5237</v>
      </c>
      <c r="AA30" s="27">
        <v>5703</v>
      </c>
      <c r="AB30" s="27">
        <v>6769</v>
      </c>
      <c r="AC30" s="27">
        <v>8364</v>
      </c>
      <c r="AD30" s="27">
        <v>9088</v>
      </c>
      <c r="AE30" s="27">
        <v>5747</v>
      </c>
      <c r="AF30" s="27">
        <v>9012</v>
      </c>
      <c r="AG30" s="27">
        <v>11488</v>
      </c>
      <c r="AH30" s="27">
        <v>6003</v>
      </c>
      <c r="AI30" s="27">
        <v>4412</v>
      </c>
      <c r="AJ30" s="27">
        <v>5798</v>
      </c>
      <c r="AK30" s="27">
        <v>9632</v>
      </c>
      <c r="AL30" s="27">
        <v>10570.772917070002</v>
      </c>
      <c r="AM30" s="27">
        <v>9286</v>
      </c>
      <c r="AN30" s="27">
        <v>8743.8683072799995</v>
      </c>
      <c r="AO30" s="27">
        <v>11122.78141335</v>
      </c>
      <c r="AP30" s="27">
        <v>9714</v>
      </c>
      <c r="AQ30" s="27">
        <v>9283</v>
      </c>
      <c r="AR30" s="27">
        <v>12433</v>
      </c>
      <c r="AS30" s="27">
        <v>14717</v>
      </c>
      <c r="AT30" s="27">
        <v>12777.758215059999</v>
      </c>
      <c r="AU30" s="27">
        <v>14693.6143854</v>
      </c>
      <c r="AV30" s="27">
        <v>15010.584524129999</v>
      </c>
      <c r="AW30" s="27">
        <v>20303.479328329999</v>
      </c>
      <c r="AX30" s="27">
        <f t="shared" ref="AX30:BE30" si="12">SUM(AX31:AX32)</f>
        <v>23631.847321820002</v>
      </c>
      <c r="AY30" s="27">
        <f t="shared" si="12"/>
        <v>19176.827587320004</v>
      </c>
      <c r="AZ30" s="27">
        <f t="shared" si="12"/>
        <v>16114.074190340001</v>
      </c>
      <c r="BA30" s="27">
        <f t="shared" si="12"/>
        <v>18790.638817060004</v>
      </c>
      <c r="BB30" s="27">
        <f t="shared" si="12"/>
        <v>17604.427967750002</v>
      </c>
      <c r="BC30" s="27">
        <f t="shared" si="12"/>
        <v>13942.190508559997</v>
      </c>
      <c r="BD30" s="27">
        <f t="shared" si="12"/>
        <v>21235.062525180001</v>
      </c>
      <c r="BE30" s="27">
        <f t="shared" si="12"/>
        <v>29203.349012630002</v>
      </c>
      <c r="BF30" s="28">
        <f>SUM(BF31:BF32)</f>
        <v>18036.233013270001</v>
      </c>
      <c r="BG30" s="28">
        <f>SUM(BG31:BG32)</f>
        <v>22852.549524299997</v>
      </c>
      <c r="BH30" s="28">
        <v>19308</v>
      </c>
      <c r="BI30" s="28">
        <v>23897</v>
      </c>
      <c r="BJ30" s="28">
        <v>21235</v>
      </c>
      <c r="BK30" s="28">
        <v>11402</v>
      </c>
      <c r="BL30" s="28">
        <v>1170</v>
      </c>
      <c r="BM30" s="63">
        <v>16579</v>
      </c>
      <c r="BN30" s="63">
        <f>BN8</f>
        <v>12000.56727009</v>
      </c>
      <c r="BO30" s="63">
        <f t="shared" ref="BO30:BQ30" si="13">BO8</f>
        <v>16208.977656510002</v>
      </c>
      <c r="BP30" s="63">
        <f t="shared" si="13"/>
        <v>24684.403612690003</v>
      </c>
      <c r="BQ30" s="63">
        <f t="shared" si="13"/>
        <v>29214</v>
      </c>
      <c r="BR30" s="63">
        <v>21587.418372629996</v>
      </c>
      <c r="BS30" s="63">
        <v>27201.23845058</v>
      </c>
      <c r="BT30" s="63">
        <v>24560.283543609999</v>
      </c>
      <c r="BU30" s="63">
        <v>22226.11877728</v>
      </c>
      <c r="BV30" s="63">
        <f>18096</f>
        <v>18096</v>
      </c>
      <c r="BW30" s="63">
        <f>21530</f>
        <v>21530</v>
      </c>
      <c r="BX30" s="63">
        <f>20125</f>
        <v>20125</v>
      </c>
    </row>
    <row r="31" spans="1:76" x14ac:dyDescent="0.2">
      <c r="A31" s="21" t="s">
        <v>135</v>
      </c>
      <c r="B31" s="6" t="s">
        <v>57</v>
      </c>
      <c r="C31" s="20"/>
      <c r="D31" s="20"/>
      <c r="E31" s="20"/>
      <c r="F31" s="20"/>
      <c r="G31" s="20"/>
      <c r="H31" s="20"/>
      <c r="I31" s="20"/>
      <c r="J31" s="20">
        <f t="shared" si="3"/>
        <v>31104</v>
      </c>
      <c r="K31" s="20">
        <f t="shared" si="4"/>
        <v>45656.239232670006</v>
      </c>
      <c r="L31" s="20">
        <f t="shared" si="5"/>
        <v>48673.272599920005</v>
      </c>
      <c r="M31" s="20">
        <f t="shared" si="6"/>
        <v>52435.787770880001</v>
      </c>
      <c r="N31" s="20">
        <f t="shared" si="10"/>
        <v>31501</v>
      </c>
      <c r="O31" s="20">
        <f t="shared" si="7"/>
        <v>41954.12411212</v>
      </c>
      <c r="P31" s="20">
        <f t="shared" si="11"/>
        <v>42490.069317759997</v>
      </c>
      <c r="Q31" s="8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>
        <v>6243</v>
      </c>
      <c r="AU31" s="20">
        <v>6641</v>
      </c>
      <c r="AV31" s="20">
        <v>7312</v>
      </c>
      <c r="AW31" s="20">
        <v>10908</v>
      </c>
      <c r="AX31" s="20">
        <v>14262.318003740002</v>
      </c>
      <c r="AY31" s="20">
        <v>11768.061539420001</v>
      </c>
      <c r="AZ31" s="20">
        <v>9737.9950076300011</v>
      </c>
      <c r="BA31" s="20">
        <v>9887.8646818800007</v>
      </c>
      <c r="BB31" s="20">
        <v>9323.5371594600001</v>
      </c>
      <c r="BC31" s="20">
        <v>7176.1069611499988</v>
      </c>
      <c r="BD31" s="20">
        <v>13737.299425159999</v>
      </c>
      <c r="BE31" s="20">
        <v>18436.329054150003</v>
      </c>
      <c r="BF31" s="19">
        <v>9861.0000419499993</v>
      </c>
      <c r="BG31" s="19">
        <v>16624.034578929997</v>
      </c>
      <c r="BH31" s="19">
        <v>11832.28983</v>
      </c>
      <c r="BI31" s="19">
        <v>14118.463320000001</v>
      </c>
      <c r="BJ31" s="19">
        <v>11609</v>
      </c>
      <c r="BK31" s="19">
        <v>6800</v>
      </c>
      <c r="BL31" s="19">
        <v>5405</v>
      </c>
      <c r="BM31" s="62">
        <v>7687</v>
      </c>
      <c r="BN31" s="19">
        <v>5822.5120402499997</v>
      </c>
      <c r="BO31" s="19">
        <v>7857.4142038400005</v>
      </c>
      <c r="BP31" s="19">
        <v>13206.448385120002</v>
      </c>
      <c r="BQ31" s="19">
        <v>15067.749482909998</v>
      </c>
      <c r="BR31" s="19">
        <v>11166.96979865</v>
      </c>
      <c r="BS31" s="19">
        <v>11766.929140209999</v>
      </c>
      <c r="BT31" s="19">
        <v>10531.3192963</v>
      </c>
      <c r="BU31" s="19">
        <v>9024.8510825999983</v>
      </c>
      <c r="BV31" s="19">
        <f>5862</f>
        <v>5862</v>
      </c>
      <c r="BW31" s="19">
        <f>9181</f>
        <v>9181</v>
      </c>
      <c r="BX31" s="19">
        <f>8931</f>
        <v>8931</v>
      </c>
    </row>
    <row r="32" spans="1:76" x14ac:dyDescent="0.2">
      <c r="A32" s="21" t="s">
        <v>136</v>
      </c>
      <c r="B32" s="6" t="s">
        <v>57</v>
      </c>
      <c r="C32" s="20"/>
      <c r="D32" s="20"/>
      <c r="E32" s="20"/>
      <c r="F32" s="20"/>
      <c r="G32" s="20"/>
      <c r="H32" s="20"/>
      <c r="I32" s="20"/>
      <c r="J32" s="20">
        <f t="shared" si="3"/>
        <v>31683</v>
      </c>
      <c r="K32" s="20">
        <f t="shared" si="4"/>
        <v>32057.14868387</v>
      </c>
      <c r="L32" s="20">
        <f t="shared" si="5"/>
        <v>33311.757414200001</v>
      </c>
      <c r="M32" s="20">
        <f t="shared" si="6"/>
        <v>31657.747916690001</v>
      </c>
      <c r="N32" s="20">
        <f t="shared" si="10"/>
        <v>24205</v>
      </c>
      <c r="O32" s="20">
        <f t="shared" si="7"/>
        <v>20422.653538030001</v>
      </c>
      <c r="P32" s="20">
        <f>SUM(BR32:BU32)</f>
        <v>30528.600168420002</v>
      </c>
      <c r="Q32" s="8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>
        <v>6535</v>
      </c>
      <c r="AU32" s="20">
        <v>8053</v>
      </c>
      <c r="AV32" s="20">
        <v>7699</v>
      </c>
      <c r="AW32" s="20">
        <v>9396</v>
      </c>
      <c r="AX32" s="20">
        <v>9369.5293180799999</v>
      </c>
      <c r="AY32" s="20">
        <v>7408.7660479000006</v>
      </c>
      <c r="AZ32" s="20">
        <v>6376.0791827100002</v>
      </c>
      <c r="BA32" s="20">
        <v>8902.7741351800014</v>
      </c>
      <c r="BB32" s="20">
        <v>8280.8908082900016</v>
      </c>
      <c r="BC32" s="20">
        <v>6766.0835474099995</v>
      </c>
      <c r="BD32" s="20">
        <v>7497.7631000200008</v>
      </c>
      <c r="BE32" s="20">
        <v>10767.019958479999</v>
      </c>
      <c r="BF32" s="19">
        <v>8175.2329713199997</v>
      </c>
      <c r="BG32" s="19">
        <v>6228.5149453699996</v>
      </c>
      <c r="BH32" s="19">
        <v>7475</v>
      </c>
      <c r="BI32" s="19">
        <v>9779</v>
      </c>
      <c r="BJ32" s="19">
        <v>9627</v>
      </c>
      <c r="BK32" s="19">
        <v>4303</v>
      </c>
      <c r="BL32" s="19">
        <v>4354</v>
      </c>
      <c r="BM32" s="62">
        <v>5921</v>
      </c>
      <c r="BN32" s="19">
        <v>3199.9154398100004</v>
      </c>
      <c r="BO32" s="19">
        <v>4853.0675351399996</v>
      </c>
      <c r="BP32" s="19">
        <v>6064.5328054000001</v>
      </c>
      <c r="BQ32" s="19">
        <v>6305.1377576800005</v>
      </c>
      <c r="BR32" s="19">
        <v>5511.3248675799987</v>
      </c>
      <c r="BS32" s="19">
        <v>8532.2948402500006</v>
      </c>
      <c r="BT32" s="19">
        <v>7848.1382900600001</v>
      </c>
      <c r="BU32" s="19">
        <v>8636.8421705300007</v>
      </c>
      <c r="BV32" s="19">
        <f>8573</f>
        <v>8573</v>
      </c>
      <c r="BW32" s="19">
        <f>7954</f>
        <v>7954</v>
      </c>
      <c r="BX32" s="19">
        <f>6612</f>
        <v>6612</v>
      </c>
    </row>
    <row r="33" spans="1:76" x14ac:dyDescent="0.2">
      <c r="A33" s="21" t="s">
        <v>137</v>
      </c>
      <c r="B33" s="6" t="s">
        <v>57</v>
      </c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>
        <f>SUM(BJ33:BM33)</f>
        <v>4679</v>
      </c>
      <c r="O33" s="20">
        <f t="shared" si="7"/>
        <v>19730.795129850001</v>
      </c>
      <c r="P33" s="20">
        <f t="shared" si="11"/>
        <v>22556.389657919997</v>
      </c>
      <c r="Q33" s="8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  <c r="BB33" s="20"/>
      <c r="BC33" s="20"/>
      <c r="BD33" s="20"/>
      <c r="BE33" s="20"/>
      <c r="BF33" s="19"/>
      <c r="BG33" s="19"/>
      <c r="BH33" s="19"/>
      <c r="BI33" s="19"/>
      <c r="BJ33" s="19"/>
      <c r="BK33" s="19">
        <v>299</v>
      </c>
      <c r="BL33" s="19">
        <v>1410</v>
      </c>
      <c r="BM33" s="62">
        <v>2970</v>
      </c>
      <c r="BN33" s="19">
        <v>2978.1397900299999</v>
      </c>
      <c r="BO33" s="19">
        <v>3498.49591753</v>
      </c>
      <c r="BP33" s="19">
        <v>5413.4224221700006</v>
      </c>
      <c r="BQ33" s="19">
        <v>7840.7370001199997</v>
      </c>
      <c r="BR33" s="19">
        <v>4909.1237063999997</v>
      </c>
      <c r="BS33" s="19">
        <v>6902.0144701199997</v>
      </c>
      <c r="BT33" s="19">
        <v>6180.8259572500001</v>
      </c>
      <c r="BU33" s="19">
        <v>4564.4255241500005</v>
      </c>
      <c r="BV33" s="19">
        <f>3662</f>
        <v>3662</v>
      </c>
      <c r="BW33" s="19">
        <f>4395</f>
        <v>4395</v>
      </c>
      <c r="BX33" s="19">
        <f>4582</f>
        <v>4582</v>
      </c>
    </row>
    <row r="34" spans="1:76" x14ac:dyDescent="0.2">
      <c r="A34" s="26" t="s">
        <v>66</v>
      </c>
      <c r="B34" s="6" t="s">
        <v>58</v>
      </c>
      <c r="C34" s="27">
        <v>67797</v>
      </c>
      <c r="D34" s="27">
        <v>75013</v>
      </c>
      <c r="E34" s="27">
        <v>84889</v>
      </c>
      <c r="F34" s="27">
        <v>87431</v>
      </c>
      <c r="G34" s="27">
        <v>91057.20360523343</v>
      </c>
      <c r="H34" s="27">
        <v>95649.762108517345</v>
      </c>
      <c r="I34" s="27">
        <v>98094.123288225688</v>
      </c>
      <c r="J34" s="27">
        <v>109445.30457033213</v>
      </c>
      <c r="K34" s="27">
        <v>123140.09552653086</v>
      </c>
      <c r="L34" s="27">
        <v>148500.69067665632</v>
      </c>
      <c r="M34" s="27">
        <v>189008.00940000001</v>
      </c>
      <c r="N34" s="27">
        <f>AVERAGE(BJ34:BM34)</f>
        <v>198413</v>
      </c>
      <c r="O34" s="27">
        <f>O26/O44*1000000</f>
        <v>192903.66068748999</v>
      </c>
      <c r="P34" s="27">
        <f>P26/P44*1000000</f>
        <v>208927.92463056667</v>
      </c>
      <c r="Q34" s="26"/>
      <c r="R34" s="27">
        <v>69721</v>
      </c>
      <c r="S34" s="27">
        <v>60453</v>
      </c>
      <c r="T34" s="27">
        <v>68030</v>
      </c>
      <c r="U34" s="27">
        <v>71718</v>
      </c>
      <c r="V34" s="27">
        <v>71611</v>
      </c>
      <c r="W34" s="27">
        <v>75120</v>
      </c>
      <c r="X34" s="27">
        <v>74073</v>
      </c>
      <c r="Y34" s="27">
        <v>78484</v>
      </c>
      <c r="Z34" s="27">
        <v>80606</v>
      </c>
      <c r="AA34" s="27">
        <v>81102</v>
      </c>
      <c r="AB34" s="27">
        <v>87800</v>
      </c>
      <c r="AC34" s="27">
        <v>85667</v>
      </c>
      <c r="AD34" s="27">
        <v>83228.279413133379</v>
      </c>
      <c r="AE34" s="27">
        <v>85288.692095209277</v>
      </c>
      <c r="AF34" s="27">
        <v>89402.153728722871</v>
      </c>
      <c r="AG34" s="27">
        <v>90510.557914723904</v>
      </c>
      <c r="AH34" s="27">
        <v>80946.282812226491</v>
      </c>
      <c r="AI34" s="27">
        <v>97918.322170442902</v>
      </c>
      <c r="AJ34" s="27">
        <v>93746.002211283601</v>
      </c>
      <c r="AK34" s="27">
        <v>90258.314857375255</v>
      </c>
      <c r="AL34" s="27">
        <v>95254</v>
      </c>
      <c r="AM34" s="27">
        <v>102223</v>
      </c>
      <c r="AN34" s="27">
        <v>99144</v>
      </c>
      <c r="AO34" s="27">
        <v>89272</v>
      </c>
      <c r="AP34" s="27">
        <v>90177.794240254676</v>
      </c>
      <c r="AQ34" s="27">
        <v>92675.773665021043</v>
      </c>
      <c r="AR34" s="27">
        <v>105015.44777916004</v>
      </c>
      <c r="AS34" s="27">
        <v>102869.44993975338</v>
      </c>
      <c r="AT34" s="27">
        <v>101473.95361667546</v>
      </c>
      <c r="AU34" s="27">
        <v>108055.02285767831</v>
      </c>
      <c r="AV34" s="27">
        <v>109015.40579162672</v>
      </c>
      <c r="AW34" s="27">
        <v>115660.46550332049</v>
      </c>
      <c r="AX34" s="27">
        <v>118796.12844466366</v>
      </c>
      <c r="AY34" s="27">
        <v>121758.63498952119</v>
      </c>
      <c r="AZ34" s="27">
        <v>125118.06952713689</v>
      </c>
      <c r="BA34" s="27">
        <v>127060.01614186288</v>
      </c>
      <c r="BB34" s="27">
        <v>142384.42321047024</v>
      </c>
      <c r="BC34" s="27">
        <v>121971.44740463202</v>
      </c>
      <c r="BD34" s="27">
        <v>159404.83358335987</v>
      </c>
      <c r="BE34" s="27">
        <v>158392.26542298836</v>
      </c>
      <c r="BF34" s="28">
        <v>164329.03697465188</v>
      </c>
      <c r="BG34" s="28">
        <v>203915.04321517842</v>
      </c>
      <c r="BH34" s="28">
        <v>190633</v>
      </c>
      <c r="BI34" s="28">
        <v>192538</v>
      </c>
      <c r="BJ34" s="28">
        <v>217611</v>
      </c>
      <c r="BK34" s="28">
        <v>181732</v>
      </c>
      <c r="BL34" s="28">
        <v>198985</v>
      </c>
      <c r="BM34" s="28">
        <v>195324</v>
      </c>
      <c r="BN34" s="28">
        <f>BN9</f>
        <v>182478.08071313796</v>
      </c>
      <c r="BO34" s="28">
        <f t="shared" ref="BO34:BQ34" si="14">BO9</f>
        <v>185870.63073595663</v>
      </c>
      <c r="BP34" s="28">
        <f t="shared" si="14"/>
        <v>199371.19042391944</v>
      </c>
      <c r="BQ34" s="28">
        <f t="shared" si="14"/>
        <v>195493</v>
      </c>
      <c r="BR34" s="28">
        <v>216512</v>
      </c>
      <c r="BS34" s="28">
        <v>192021</v>
      </c>
      <c r="BT34" s="28">
        <f>234799</f>
        <v>234799</v>
      </c>
      <c r="BU34" s="28">
        <f>195000</f>
        <v>195000</v>
      </c>
      <c r="BV34" s="28">
        <f>194595</f>
        <v>194595</v>
      </c>
      <c r="BW34" s="28">
        <f>239432</f>
        <v>239432</v>
      </c>
      <c r="BX34" s="28">
        <f>267395</f>
        <v>267395</v>
      </c>
    </row>
    <row r="35" spans="1:76" x14ac:dyDescent="0.2">
      <c r="A35" s="21" t="s">
        <v>135</v>
      </c>
      <c r="B35" s="6" t="s">
        <v>58</v>
      </c>
      <c r="C35" s="20"/>
      <c r="D35" s="20"/>
      <c r="E35" s="20"/>
      <c r="F35" s="20"/>
      <c r="G35" s="20"/>
      <c r="H35" s="20"/>
      <c r="I35" s="20"/>
      <c r="J35" s="20"/>
      <c r="K35" s="20">
        <v>142717</v>
      </c>
      <c r="L35" s="20">
        <v>171585</v>
      </c>
      <c r="M35" s="20">
        <v>227675.32320000001</v>
      </c>
      <c r="N35" s="20">
        <f t="shared" ref="N35:N36" si="15">AVERAGE(BJ35:BM35)</f>
        <v>264026.25</v>
      </c>
      <c r="O35" s="20">
        <f>O27/O45*1000000</f>
        <v>275729.8315307544</v>
      </c>
      <c r="P35" s="20">
        <f>P27/P45*1000000</f>
        <v>300729.07098191651</v>
      </c>
      <c r="Q35" s="8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>
        <v>106636</v>
      </c>
      <c r="AU35" s="20">
        <v>111066</v>
      </c>
      <c r="AV35" s="20">
        <v>109630</v>
      </c>
      <c r="AW35" s="20">
        <v>119972</v>
      </c>
      <c r="AX35" s="20">
        <v>134674.20860035415</v>
      </c>
      <c r="AY35" s="20">
        <v>144541.35515290051</v>
      </c>
      <c r="AZ35" s="20">
        <v>141407.16011891101</v>
      </c>
      <c r="BA35" s="20">
        <v>151970.89868517112</v>
      </c>
      <c r="BB35" s="20">
        <v>171385.11339795694</v>
      </c>
      <c r="BC35" s="20">
        <v>122861.17023687845</v>
      </c>
      <c r="BD35" s="20">
        <v>194240.88155076321</v>
      </c>
      <c r="BE35" s="20">
        <v>177110.01248022571</v>
      </c>
      <c r="BF35" s="19">
        <v>182564.76327908901</v>
      </c>
      <c r="BG35" s="19">
        <v>232271.66960820701</v>
      </c>
      <c r="BH35" s="19">
        <v>228589</v>
      </c>
      <c r="BI35" s="19">
        <v>261542</v>
      </c>
      <c r="BJ35" s="19">
        <v>277236</v>
      </c>
      <c r="BK35" s="19">
        <v>227781</v>
      </c>
      <c r="BL35" s="19">
        <v>281433</v>
      </c>
      <c r="BM35" s="62">
        <v>269655</v>
      </c>
      <c r="BN35" s="19">
        <v>241677.11333712612</v>
      </c>
      <c r="BO35" s="19">
        <v>252546.7309082819</v>
      </c>
      <c r="BP35" s="19">
        <v>298533.53502197156</v>
      </c>
      <c r="BQ35" s="19">
        <v>282856.39688387804</v>
      </c>
      <c r="BR35" s="19">
        <v>297300</v>
      </c>
      <c r="BS35" s="19">
        <f>301581</f>
        <v>301581</v>
      </c>
      <c r="BT35" s="19">
        <f>315182</f>
        <v>315182</v>
      </c>
      <c r="BU35" s="19">
        <f>288781</f>
        <v>288781</v>
      </c>
      <c r="BV35" s="19">
        <v>214244</v>
      </c>
      <c r="BW35" s="19">
        <f>357299</f>
        <v>357299</v>
      </c>
      <c r="BX35" s="19">
        <f>319428</f>
        <v>319428</v>
      </c>
    </row>
    <row r="36" spans="1:76" x14ac:dyDescent="0.2">
      <c r="A36" s="21" t="s">
        <v>136</v>
      </c>
      <c r="B36" s="6" t="s">
        <v>58</v>
      </c>
      <c r="C36" s="20"/>
      <c r="D36" s="20"/>
      <c r="E36" s="20"/>
      <c r="F36" s="20"/>
      <c r="G36" s="20"/>
      <c r="H36" s="20"/>
      <c r="I36" s="20"/>
      <c r="J36" s="20"/>
      <c r="K36" s="20">
        <v>105073</v>
      </c>
      <c r="L36" s="20">
        <v>124839</v>
      </c>
      <c r="M36" s="20">
        <v>145098.54550000001</v>
      </c>
      <c r="N36" s="20">
        <f t="shared" si="15"/>
        <v>175386.25</v>
      </c>
      <c r="O36" s="20">
        <f t="shared" ref="O36:P37" si="16">O28/O46*1000000</f>
        <v>160148.86525165982</v>
      </c>
      <c r="P36" s="20">
        <f t="shared" si="16"/>
        <v>162763.11323591121</v>
      </c>
      <c r="Q36" s="8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>
        <v>97359</v>
      </c>
      <c r="AU36" s="20">
        <v>105411</v>
      </c>
      <c r="AV36" s="20">
        <v>108400</v>
      </c>
      <c r="AW36" s="20">
        <v>111265</v>
      </c>
      <c r="AX36" s="20">
        <v>102075.33039949139</v>
      </c>
      <c r="AY36" s="20">
        <v>100058.14254499302</v>
      </c>
      <c r="AZ36" s="20">
        <v>107464.84053042623</v>
      </c>
      <c r="BA36" s="20">
        <v>109850.11609688206</v>
      </c>
      <c r="BB36" s="20">
        <v>116695.62076664282</v>
      </c>
      <c r="BC36" s="20">
        <v>121108.49913371918</v>
      </c>
      <c r="BD36" s="20">
        <v>119832.36031155818</v>
      </c>
      <c r="BE36" s="20">
        <v>138241.03100844199</v>
      </c>
      <c r="BF36" s="19">
        <v>144203.477839108</v>
      </c>
      <c r="BG36" s="19">
        <v>151485.59596287701</v>
      </c>
      <c r="BH36" s="19">
        <v>150724</v>
      </c>
      <c r="BI36" s="19">
        <v>138221</v>
      </c>
      <c r="BJ36" s="19">
        <v>164666</v>
      </c>
      <c r="BK36" s="19">
        <v>150977</v>
      </c>
      <c r="BL36" s="19">
        <v>188567</v>
      </c>
      <c r="BM36" s="62">
        <v>197335</v>
      </c>
      <c r="BN36" s="19">
        <v>177360.30188304858</v>
      </c>
      <c r="BO36" s="19">
        <v>180061.7501297897</v>
      </c>
      <c r="BP36" s="19">
        <v>159854.74301852004</v>
      </c>
      <c r="BQ36" s="19">
        <v>141960.82360662741</v>
      </c>
      <c r="BR36" s="19">
        <v>141576</v>
      </c>
      <c r="BS36" s="19">
        <v>142807</v>
      </c>
      <c r="BT36" s="19">
        <f>219096</f>
        <v>219096</v>
      </c>
      <c r="BU36" s="19">
        <f>154488</f>
        <v>154488</v>
      </c>
      <c r="BV36" s="19">
        <v>186747</v>
      </c>
      <c r="BW36" s="19">
        <f>210562</f>
        <v>210562</v>
      </c>
      <c r="BX36" s="19">
        <f>231312</f>
        <v>231312</v>
      </c>
    </row>
    <row r="37" spans="1:76" x14ac:dyDescent="0.2">
      <c r="A37" s="21" t="s">
        <v>137</v>
      </c>
      <c r="B37" s="6" t="s">
        <v>58</v>
      </c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>
        <f>AVERAGE(BJ37:BM37)</f>
        <v>99888.666666666672</v>
      </c>
      <c r="O37" s="20">
        <f t="shared" si="16"/>
        <v>126128.67869874639</v>
      </c>
      <c r="P37" s="20">
        <v>152928</v>
      </c>
      <c r="Q37" s="8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19"/>
      <c r="BG37" s="19"/>
      <c r="BH37" s="19"/>
      <c r="BI37" s="19"/>
      <c r="BJ37" s="19"/>
      <c r="BK37" s="19">
        <v>84945</v>
      </c>
      <c r="BL37" s="19">
        <v>97128</v>
      </c>
      <c r="BM37" s="62">
        <v>117593</v>
      </c>
      <c r="BN37" s="19">
        <v>116837.1142246169</v>
      </c>
      <c r="BO37" s="19">
        <v>114475.2441986622</v>
      </c>
      <c r="BP37" s="19">
        <v>118829.83704499254</v>
      </c>
      <c r="BQ37" s="19">
        <v>140549.85070041681</v>
      </c>
      <c r="BR37" s="19">
        <v>147238</v>
      </c>
      <c r="BS37" s="19">
        <v>148820</v>
      </c>
      <c r="BT37" s="19">
        <f>158242</f>
        <v>158242</v>
      </c>
      <c r="BU37" s="19">
        <f>161270</f>
        <v>161270</v>
      </c>
      <c r="BV37" s="19">
        <f>162290</f>
        <v>162290</v>
      </c>
      <c r="BW37" s="19">
        <f>156588</f>
        <v>156588</v>
      </c>
      <c r="BX37" s="19">
        <f>168538</f>
        <v>168538</v>
      </c>
    </row>
    <row r="38" spans="1:76" x14ac:dyDescent="0.2">
      <c r="A38" s="26" t="s">
        <v>67</v>
      </c>
      <c r="B38" s="6" t="s">
        <v>3</v>
      </c>
      <c r="C38" s="27"/>
      <c r="D38" s="27">
        <f>SUM(V38:Y38)</f>
        <v>5797</v>
      </c>
      <c r="E38" s="27">
        <f>SUM(Z38:AC38)</f>
        <v>6876</v>
      </c>
      <c r="F38" s="27">
        <f>SUM(AD38:AG38)</f>
        <v>9045</v>
      </c>
      <c r="G38" s="27">
        <f>SUM(AH38:AK38)</f>
        <v>7841</v>
      </c>
      <c r="H38" s="27">
        <f>SUM(AL38:AO38)</f>
        <v>9590</v>
      </c>
      <c r="I38" s="27">
        <f>SUM(AP38:AS38)</f>
        <v>9916</v>
      </c>
      <c r="J38" s="27">
        <f>SUM(AT38:AW38)</f>
        <v>12312</v>
      </c>
      <c r="K38" s="27">
        <f>SUM(AX38:BA38)</f>
        <v>12040</v>
      </c>
      <c r="L38" s="27">
        <f>SUM(BB38:BE38)</f>
        <v>9725</v>
      </c>
      <c r="M38" s="27">
        <f>SUM(BF38:BI38)</f>
        <v>8560</v>
      </c>
      <c r="N38" s="27">
        <f t="shared" si="10"/>
        <v>6457</v>
      </c>
      <c r="O38" s="27">
        <f t="shared" ref="O38:O41" si="17">SUM(BN38:BQ38)</f>
        <v>11689</v>
      </c>
      <c r="P38" s="27">
        <f t="shared" ref="P38:P41" si="18">SUM(BR38:BU38)</f>
        <v>14304</v>
      </c>
      <c r="Q38" s="8"/>
      <c r="R38" s="27"/>
      <c r="S38" s="27"/>
      <c r="T38" s="27"/>
      <c r="U38" s="27"/>
      <c r="V38" s="27">
        <v>1338</v>
      </c>
      <c r="W38" s="27">
        <v>1235</v>
      </c>
      <c r="X38" s="27">
        <v>1390</v>
      </c>
      <c r="Y38" s="27">
        <v>1834</v>
      </c>
      <c r="Z38" s="27">
        <v>1454</v>
      </c>
      <c r="AA38" s="27">
        <v>1548</v>
      </c>
      <c r="AB38" s="27">
        <v>1752</v>
      </c>
      <c r="AC38" s="27">
        <v>2122</v>
      </c>
      <c r="AD38" s="27">
        <v>2300</v>
      </c>
      <c r="AE38" s="27">
        <v>2033</v>
      </c>
      <c r="AF38" s="27">
        <v>1960</v>
      </c>
      <c r="AG38" s="27">
        <v>2752</v>
      </c>
      <c r="AH38" s="27">
        <v>1028</v>
      </c>
      <c r="AI38" s="27">
        <v>831</v>
      </c>
      <c r="AJ38" s="27">
        <v>2525</v>
      </c>
      <c r="AK38" s="27">
        <v>3457</v>
      </c>
      <c r="AL38" s="27">
        <v>2634</v>
      </c>
      <c r="AM38" s="27">
        <v>1886</v>
      </c>
      <c r="AN38" s="27">
        <v>2069</v>
      </c>
      <c r="AO38" s="27">
        <v>3001</v>
      </c>
      <c r="AP38" s="27">
        <v>2082</v>
      </c>
      <c r="AQ38" s="27">
        <v>2321</v>
      </c>
      <c r="AR38" s="27">
        <v>2331</v>
      </c>
      <c r="AS38" s="27">
        <v>3182</v>
      </c>
      <c r="AT38" s="27">
        <f t="shared" ref="AT38:BG38" si="19">SUM(AT39:AT40)</f>
        <v>2573</v>
      </c>
      <c r="AU38" s="27">
        <f t="shared" si="19"/>
        <v>2532</v>
      </c>
      <c r="AV38" s="27">
        <f t="shared" si="19"/>
        <v>2962</v>
      </c>
      <c r="AW38" s="27">
        <f t="shared" si="19"/>
        <v>4245</v>
      </c>
      <c r="AX38" s="27">
        <f t="shared" si="19"/>
        <v>3470</v>
      </c>
      <c r="AY38" s="27">
        <f t="shared" si="19"/>
        <v>3060</v>
      </c>
      <c r="AZ38" s="27">
        <f t="shared" si="19"/>
        <v>2579</v>
      </c>
      <c r="BA38" s="27">
        <f t="shared" si="19"/>
        <v>2931</v>
      </c>
      <c r="BB38" s="27">
        <f t="shared" si="19"/>
        <v>2323</v>
      </c>
      <c r="BC38" s="27">
        <f t="shared" si="19"/>
        <v>1559</v>
      </c>
      <c r="BD38" s="27">
        <f t="shared" si="19"/>
        <v>2706</v>
      </c>
      <c r="BE38" s="27">
        <f t="shared" si="19"/>
        <v>3137</v>
      </c>
      <c r="BF38" s="28">
        <f t="shared" si="19"/>
        <v>1989</v>
      </c>
      <c r="BG38" s="28">
        <f t="shared" si="19"/>
        <v>2297</v>
      </c>
      <c r="BH38" s="28">
        <v>1869</v>
      </c>
      <c r="BI38" s="28">
        <v>2405</v>
      </c>
      <c r="BJ38" s="28">
        <v>1899</v>
      </c>
      <c r="BK38" s="28">
        <v>1216</v>
      </c>
      <c r="BL38" s="28">
        <v>1572</v>
      </c>
      <c r="BM38" s="63">
        <v>1770</v>
      </c>
      <c r="BN38" s="63">
        <f>BN12</f>
        <v>1555</v>
      </c>
      <c r="BO38" s="63">
        <f t="shared" ref="BO38:BQ38" si="20">BO12</f>
        <v>2265</v>
      </c>
      <c r="BP38" s="63">
        <f t="shared" si="20"/>
        <v>3343</v>
      </c>
      <c r="BQ38" s="63">
        <f t="shared" si="20"/>
        <v>4526</v>
      </c>
      <c r="BR38" s="63">
        <v>3816</v>
      </c>
      <c r="BS38" s="63">
        <v>3643</v>
      </c>
      <c r="BT38" s="63">
        <f>3368</f>
        <v>3368</v>
      </c>
      <c r="BU38" s="63">
        <f>3477</f>
        <v>3477</v>
      </c>
      <c r="BV38" s="63">
        <f>4075</f>
        <v>4075</v>
      </c>
      <c r="BW38" s="63">
        <f>2479</f>
        <v>2479</v>
      </c>
      <c r="BX38" s="63">
        <f>2772</f>
        <v>2772</v>
      </c>
    </row>
    <row r="39" spans="1:76" x14ac:dyDescent="0.2">
      <c r="A39" s="21" t="s">
        <v>135</v>
      </c>
      <c r="B39" s="6"/>
      <c r="C39" s="20"/>
      <c r="D39" s="20"/>
      <c r="E39" s="20"/>
      <c r="F39" s="20"/>
      <c r="G39" s="20"/>
      <c r="H39" s="20"/>
      <c r="I39" s="20"/>
      <c r="J39" s="20">
        <f>SUM(AT39:AW39)</f>
        <v>5976</v>
      </c>
      <c r="K39" s="20">
        <f>SUM(AX39:BA39)</f>
        <v>5619</v>
      </c>
      <c r="L39" s="20">
        <f>SUM(BB39:BE39)</f>
        <v>4938</v>
      </c>
      <c r="M39" s="20">
        <f>SUM(BF39:BI39)</f>
        <v>4654</v>
      </c>
      <c r="N39" s="20">
        <f t="shared" si="10"/>
        <v>2645</v>
      </c>
      <c r="O39" s="20">
        <f t="shared" si="17"/>
        <v>4269</v>
      </c>
      <c r="P39" s="20">
        <f t="shared" si="18"/>
        <v>5372</v>
      </c>
      <c r="Q39" s="8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>
        <v>1142</v>
      </c>
      <c r="AU39" s="20">
        <v>1246</v>
      </c>
      <c r="AV39" s="20">
        <v>1430</v>
      </c>
      <c r="AW39" s="20">
        <v>2158</v>
      </c>
      <c r="AX39" s="20">
        <v>1763</v>
      </c>
      <c r="AY39" s="20">
        <v>1454</v>
      </c>
      <c r="AZ39" s="20">
        <v>1235</v>
      </c>
      <c r="BA39" s="20">
        <v>1167</v>
      </c>
      <c r="BB39" s="20">
        <v>1122</v>
      </c>
      <c r="BC39" s="20">
        <v>640</v>
      </c>
      <c r="BD39" s="20">
        <v>1461</v>
      </c>
      <c r="BE39" s="20">
        <v>1715</v>
      </c>
      <c r="BF39" s="19">
        <v>1030</v>
      </c>
      <c r="BG39" s="19">
        <v>1479</v>
      </c>
      <c r="BH39" s="19">
        <v>999</v>
      </c>
      <c r="BI39" s="19">
        <v>1146</v>
      </c>
      <c r="BJ39" s="19">
        <v>824</v>
      </c>
      <c r="BK39" s="19">
        <v>638</v>
      </c>
      <c r="BL39" s="19">
        <v>565</v>
      </c>
      <c r="BM39" s="19">
        <v>618</v>
      </c>
      <c r="BN39" s="19">
        <v>624</v>
      </c>
      <c r="BO39" s="19">
        <v>782</v>
      </c>
      <c r="BP39" s="19">
        <v>1256</v>
      </c>
      <c r="BQ39" s="19">
        <v>1607</v>
      </c>
      <c r="BR39" s="19">
        <v>1856</v>
      </c>
      <c r="BS39" s="19">
        <v>1250</v>
      </c>
      <c r="BT39" s="19">
        <f>1136</f>
        <v>1136</v>
      </c>
      <c r="BU39" s="19">
        <f>1130</f>
        <v>1130</v>
      </c>
      <c r="BV39" s="19">
        <f>1650</f>
        <v>1650</v>
      </c>
      <c r="BW39" s="19">
        <f>857</f>
        <v>857</v>
      </c>
      <c r="BX39" s="19">
        <f>1173</f>
        <v>1173</v>
      </c>
    </row>
    <row r="40" spans="1:76" x14ac:dyDescent="0.2">
      <c r="A40" s="21" t="s">
        <v>136</v>
      </c>
      <c r="B40" s="6"/>
      <c r="C40" s="20"/>
      <c r="D40" s="20"/>
      <c r="E40" s="20"/>
      <c r="F40" s="20"/>
      <c r="G40" s="20"/>
      <c r="H40" s="20"/>
      <c r="I40" s="20"/>
      <c r="J40" s="20">
        <f>SUM(AT40:AW40)</f>
        <v>6336</v>
      </c>
      <c r="K40" s="20">
        <f>SUM(AX40:BA40)</f>
        <v>6421</v>
      </c>
      <c r="L40" s="20">
        <f>SUM(BB40:BE40)</f>
        <v>4787</v>
      </c>
      <c r="M40" s="20">
        <f>SUM(BF40:BI40)</f>
        <v>3906</v>
      </c>
      <c r="N40" s="20">
        <f t="shared" si="10"/>
        <v>2609</v>
      </c>
      <c r="O40" s="20">
        <f t="shared" si="17"/>
        <v>3456</v>
      </c>
      <c r="P40" s="20">
        <f t="shared" si="18"/>
        <v>4795</v>
      </c>
      <c r="Q40" s="8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>
        <v>1431</v>
      </c>
      <c r="AU40" s="20">
        <v>1286</v>
      </c>
      <c r="AV40" s="20">
        <v>1532</v>
      </c>
      <c r="AW40" s="20">
        <v>2087</v>
      </c>
      <c r="AX40" s="20">
        <v>1707</v>
      </c>
      <c r="AY40" s="20">
        <v>1606</v>
      </c>
      <c r="AZ40" s="20">
        <v>1344</v>
      </c>
      <c r="BA40" s="20">
        <v>1764</v>
      </c>
      <c r="BB40" s="20">
        <v>1201</v>
      </c>
      <c r="BC40" s="20">
        <v>919</v>
      </c>
      <c r="BD40" s="20">
        <v>1245</v>
      </c>
      <c r="BE40" s="20">
        <v>1422</v>
      </c>
      <c r="BF40" s="19">
        <v>959</v>
      </c>
      <c r="BG40" s="19">
        <v>818</v>
      </c>
      <c r="BH40" s="19">
        <v>870</v>
      </c>
      <c r="BI40" s="19">
        <v>1259</v>
      </c>
      <c r="BJ40" s="19">
        <v>1075</v>
      </c>
      <c r="BK40" s="19">
        <v>460</v>
      </c>
      <c r="BL40" s="19">
        <v>541</v>
      </c>
      <c r="BM40" s="19">
        <v>533</v>
      </c>
      <c r="BN40" s="19">
        <v>398</v>
      </c>
      <c r="BO40" s="19">
        <v>715</v>
      </c>
      <c r="BP40" s="19">
        <v>947</v>
      </c>
      <c r="BQ40" s="19">
        <v>1396</v>
      </c>
      <c r="BR40" s="19">
        <v>902</v>
      </c>
      <c r="BS40" s="19">
        <v>1078</v>
      </c>
      <c r="BT40" s="19">
        <f>1247</f>
        <v>1247</v>
      </c>
      <c r="BU40" s="19">
        <f>1568</f>
        <v>1568</v>
      </c>
      <c r="BV40" s="19">
        <f>1535</f>
        <v>1535</v>
      </c>
      <c r="BW40" s="19">
        <f>908</f>
        <v>908</v>
      </c>
      <c r="BX40" s="19">
        <f>903</f>
        <v>903</v>
      </c>
    </row>
    <row r="41" spans="1:76" x14ac:dyDescent="0.2">
      <c r="A41" s="21" t="s">
        <v>137</v>
      </c>
      <c r="B41" s="6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>
        <f>SUM(BJ41:BM41)</f>
        <v>1203</v>
      </c>
      <c r="O41" s="20">
        <f t="shared" si="17"/>
        <v>3964</v>
      </c>
      <c r="P41" s="20">
        <f t="shared" si="18"/>
        <v>4137</v>
      </c>
      <c r="Q41" s="8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19"/>
      <c r="BG41" s="19"/>
      <c r="BH41" s="19"/>
      <c r="BI41" s="19"/>
      <c r="BJ41" s="19"/>
      <c r="BK41" s="19">
        <v>118</v>
      </c>
      <c r="BL41" s="19">
        <v>466</v>
      </c>
      <c r="BM41" s="19">
        <v>619</v>
      </c>
      <c r="BN41" s="19">
        <v>533</v>
      </c>
      <c r="BO41" s="19">
        <v>768</v>
      </c>
      <c r="BP41" s="19">
        <v>1140</v>
      </c>
      <c r="BQ41" s="19">
        <v>1523</v>
      </c>
      <c r="BR41" s="19">
        <v>1058</v>
      </c>
      <c r="BS41" s="19">
        <v>1315</v>
      </c>
      <c r="BT41" s="19">
        <f>985</f>
        <v>985</v>
      </c>
      <c r="BU41" s="19">
        <f>779</f>
        <v>779</v>
      </c>
      <c r="BV41" s="19">
        <f>890</f>
        <v>890</v>
      </c>
      <c r="BW41" s="19">
        <f>714</f>
        <v>714</v>
      </c>
      <c r="BX41" s="19">
        <f>696</f>
        <v>696</v>
      </c>
    </row>
    <row r="42" spans="1:76" x14ac:dyDescent="0.2">
      <c r="A42" s="22"/>
      <c r="B42" s="6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8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19"/>
      <c r="BG42" s="19"/>
      <c r="BH42" s="19"/>
      <c r="BI42" s="19"/>
      <c r="BJ42" s="19"/>
      <c r="BK42" s="19"/>
      <c r="BL42" s="19"/>
      <c r="BS42" s="5"/>
      <c r="BT42" s="5"/>
      <c r="BU42" s="5"/>
      <c r="BV42" s="5"/>
      <c r="BW42" s="5"/>
      <c r="BX42" s="5"/>
    </row>
    <row r="43" spans="1:76" x14ac:dyDescent="0.2">
      <c r="A43" s="12" t="s">
        <v>71</v>
      </c>
      <c r="B43" s="6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8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19"/>
      <c r="BG43" s="19"/>
      <c r="BH43" s="19"/>
      <c r="BI43" s="19"/>
      <c r="BJ43" s="8"/>
      <c r="BK43" s="8"/>
      <c r="BL43" s="8"/>
      <c r="BS43" s="5"/>
      <c r="BT43" s="5"/>
      <c r="BU43" s="5"/>
      <c r="BV43" s="5"/>
      <c r="BW43" s="5"/>
      <c r="BX43" s="5"/>
    </row>
    <row r="44" spans="1:76" x14ac:dyDescent="0.2">
      <c r="A44" s="26" t="s">
        <v>81</v>
      </c>
      <c r="B44" s="6" t="s">
        <v>74</v>
      </c>
      <c r="C44" s="27">
        <f>SUM(R44:U44)</f>
        <v>270012</v>
      </c>
      <c r="D44" s="27">
        <f>SUM(V44:Y44)</f>
        <v>316466</v>
      </c>
      <c r="E44" s="27">
        <f>SUM(Z44:AC44)</f>
        <v>356075</v>
      </c>
      <c r="F44" s="27">
        <f>SUM(AD44:AG44)</f>
        <v>457055</v>
      </c>
      <c r="G44" s="27">
        <f>SUM(AH44:AK44)</f>
        <v>385252</v>
      </c>
      <c r="H44" s="27">
        <f>SUM(AL44:AO44)</f>
        <v>496008</v>
      </c>
      <c r="I44" s="27">
        <f>SUM(AP44:AS44)</f>
        <v>512161</v>
      </c>
      <c r="J44" s="27">
        <f t="shared" ref="J44:J50" si="21">SUM(AT44:AW44)</f>
        <v>627996</v>
      </c>
      <c r="K44" s="27">
        <f t="shared" ref="K44:K50" si="22">SUM(AX44:BA44)</f>
        <v>630399.1100000001</v>
      </c>
      <c r="L44" s="27">
        <f t="shared" ref="L44:L50" si="23">SUM(BB44:BE44)</f>
        <v>538194.04</v>
      </c>
      <c r="M44" s="27">
        <f>SUM(BF44:BI44)</f>
        <v>446479.84000000008</v>
      </c>
      <c r="N44" s="27">
        <f>SUM(BJ44:BM44)</f>
        <v>292395</v>
      </c>
      <c r="O44" s="27">
        <f t="shared" ref="O44:O51" si="24">SUM(BN44:BQ44)</f>
        <v>547234.76</v>
      </c>
      <c r="P44" s="27">
        <f t="shared" ref="P44:P51" si="25">SUM(BR44:BU44)</f>
        <v>699959.08999999985</v>
      </c>
      <c r="Q44" s="26"/>
      <c r="R44" s="27">
        <v>59638</v>
      </c>
      <c r="S44" s="27">
        <v>62544</v>
      </c>
      <c r="T44" s="27">
        <v>63737</v>
      </c>
      <c r="U44" s="27">
        <v>84093</v>
      </c>
      <c r="V44" s="27">
        <v>77726</v>
      </c>
      <c r="W44" s="27">
        <v>69155</v>
      </c>
      <c r="X44" s="27">
        <v>75102</v>
      </c>
      <c r="Y44" s="27">
        <v>94483</v>
      </c>
      <c r="Z44" s="27">
        <v>73481</v>
      </c>
      <c r="AA44" s="27">
        <v>80042</v>
      </c>
      <c r="AB44" s="27">
        <v>92755</v>
      </c>
      <c r="AC44" s="27">
        <v>109797</v>
      </c>
      <c r="AD44" s="27">
        <v>109060</v>
      </c>
      <c r="AE44" s="27">
        <v>94914</v>
      </c>
      <c r="AF44" s="27">
        <v>106039</v>
      </c>
      <c r="AG44" s="27">
        <v>147042</v>
      </c>
      <c r="AH44" s="27">
        <v>46990</v>
      </c>
      <c r="AI44" s="27">
        <v>41973</v>
      </c>
      <c r="AJ44" s="27">
        <v>121522</v>
      </c>
      <c r="AK44" s="27">
        <v>174767</v>
      </c>
      <c r="AL44" s="27">
        <v>135003</v>
      </c>
      <c r="AM44" s="27">
        <v>100599</v>
      </c>
      <c r="AN44" s="27">
        <v>106661</v>
      </c>
      <c r="AO44" s="27">
        <v>153745</v>
      </c>
      <c r="AP44" s="27">
        <v>113646</v>
      </c>
      <c r="AQ44" s="27">
        <v>122427</v>
      </c>
      <c r="AR44" s="27">
        <v>113979</v>
      </c>
      <c r="AS44" s="27">
        <v>162109</v>
      </c>
      <c r="AT44" s="27">
        <f t="shared" ref="AT44:BG44" si="26">SUM(AT45:AT46)</f>
        <v>134075</v>
      </c>
      <c r="AU44" s="27">
        <f t="shared" si="26"/>
        <v>128468</v>
      </c>
      <c r="AV44" s="27">
        <f t="shared" si="26"/>
        <v>154097</v>
      </c>
      <c r="AW44" s="27">
        <f t="shared" si="26"/>
        <v>211356</v>
      </c>
      <c r="AX44" s="27">
        <f t="shared" si="26"/>
        <v>167954.35</v>
      </c>
      <c r="AY44" s="27">
        <f t="shared" si="26"/>
        <v>154257.26999999999</v>
      </c>
      <c r="AZ44" s="27">
        <f t="shared" si="26"/>
        <v>136657.72000000003</v>
      </c>
      <c r="BA44" s="27">
        <f t="shared" si="26"/>
        <v>171529.77000000008</v>
      </c>
      <c r="BB44" s="27">
        <f t="shared" si="26"/>
        <v>125971.08000000002</v>
      </c>
      <c r="BC44" s="27">
        <f t="shared" si="26"/>
        <v>94984.22</v>
      </c>
      <c r="BD44" s="27">
        <f t="shared" si="26"/>
        <v>150450.69999999992</v>
      </c>
      <c r="BE44" s="27">
        <f t="shared" si="26"/>
        <v>166788.04000000004</v>
      </c>
      <c r="BF44" s="27">
        <f t="shared" si="26"/>
        <v>98670.300000000032</v>
      </c>
      <c r="BG44" s="27">
        <f t="shared" si="26"/>
        <v>122269.54000000005</v>
      </c>
      <c r="BH44" s="28">
        <v>96470</v>
      </c>
      <c r="BI44" s="28">
        <v>129070</v>
      </c>
      <c r="BJ44" s="28">
        <v>90439</v>
      </c>
      <c r="BK44" s="28">
        <v>53036</v>
      </c>
      <c r="BL44" s="28">
        <v>66986</v>
      </c>
      <c r="BM44" s="63">
        <v>81934</v>
      </c>
      <c r="BN44" s="63">
        <f>BN17</f>
        <v>73632.870000000039</v>
      </c>
      <c r="BO44" s="63">
        <f t="shared" ref="BO44:BQ44" si="27">BO17</f>
        <v>110647.41</v>
      </c>
      <c r="BP44" s="63">
        <f t="shared" si="27"/>
        <v>156337.03</v>
      </c>
      <c r="BQ44" s="63">
        <f t="shared" si="27"/>
        <v>206617.44999999995</v>
      </c>
      <c r="BR44" s="63">
        <v>189205</v>
      </c>
      <c r="BS44" s="63">
        <v>195951.15999999989</v>
      </c>
      <c r="BT44" s="63">
        <v>157360.99999999997</v>
      </c>
      <c r="BU44" s="63">
        <v>157441.93</v>
      </c>
      <c r="BV44" s="63">
        <f>192077</f>
        <v>192077</v>
      </c>
      <c r="BW44" s="63">
        <f>103678</f>
        <v>103678</v>
      </c>
      <c r="BX44" s="63">
        <f>175226</f>
        <v>175226</v>
      </c>
    </row>
    <row r="45" spans="1:76" x14ac:dyDescent="0.2">
      <c r="A45" s="21" t="s">
        <v>135</v>
      </c>
      <c r="B45" s="6" t="s">
        <v>74</v>
      </c>
      <c r="C45" s="20"/>
      <c r="D45" s="20"/>
      <c r="E45" s="20"/>
      <c r="F45" s="20"/>
      <c r="G45" s="20"/>
      <c r="H45" s="20"/>
      <c r="I45" s="20"/>
      <c r="J45" s="20">
        <f t="shared" si="21"/>
        <v>303334</v>
      </c>
      <c r="K45" s="20">
        <f t="shared" si="22"/>
        <v>302559.66000000003</v>
      </c>
      <c r="L45" s="20">
        <f>SUM(BB45:BE45)</f>
        <v>272421.21999999997</v>
      </c>
      <c r="M45" s="20">
        <f>SUM(BF45:BI45)</f>
        <v>237411.64000000007</v>
      </c>
      <c r="N45" s="20">
        <f t="shared" si="10"/>
        <v>121371</v>
      </c>
      <c r="O45" s="20">
        <f t="shared" si="24"/>
        <v>210598.25999999995</v>
      </c>
      <c r="P45" s="20">
        <f t="shared" si="25"/>
        <v>248514</v>
      </c>
      <c r="Q45" s="8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109">
        <v>59469</v>
      </c>
      <c r="AU45" s="109">
        <v>60065</v>
      </c>
      <c r="AV45" s="109">
        <v>77106</v>
      </c>
      <c r="AW45" s="109">
        <v>106694</v>
      </c>
      <c r="AX45" s="109">
        <v>86148.08</v>
      </c>
      <c r="AY45" s="109">
        <v>75252.180000000022</v>
      </c>
      <c r="AZ45" s="109">
        <v>71074.990000000005</v>
      </c>
      <c r="BA45" s="109">
        <v>70084.410000000033</v>
      </c>
      <c r="BB45" s="109">
        <v>59171.260000000038</v>
      </c>
      <c r="BC45" s="109">
        <v>46766.600000000006</v>
      </c>
      <c r="BD45" s="109">
        <v>80013.769999999946</v>
      </c>
      <c r="BE45" s="109">
        <v>86469.59</v>
      </c>
      <c r="BF45" s="32">
        <v>51765.600000000035</v>
      </c>
      <c r="BG45" s="32">
        <v>79351.850000000049</v>
      </c>
      <c r="BH45" s="19">
        <v>49444.9</v>
      </c>
      <c r="BI45" s="19">
        <v>56849.29</v>
      </c>
      <c r="BJ45" s="19">
        <v>42536</v>
      </c>
      <c r="BK45" s="19">
        <v>25114</v>
      </c>
      <c r="BL45" s="19">
        <v>25228</v>
      </c>
      <c r="BM45" s="62">
        <v>28493</v>
      </c>
      <c r="BN45" s="19">
        <v>29529.599999999999</v>
      </c>
      <c r="BO45" s="19">
        <v>40979.620000000003</v>
      </c>
      <c r="BP45" s="19">
        <v>60858.509999999987</v>
      </c>
      <c r="BQ45" s="19">
        <v>79230.529999999984</v>
      </c>
      <c r="BR45" s="19">
        <v>89179</v>
      </c>
      <c r="BS45" s="19">
        <v>58272</v>
      </c>
      <c r="BT45" s="19">
        <v>55445</v>
      </c>
      <c r="BU45" s="19">
        <v>45618</v>
      </c>
      <c r="BV45" s="19">
        <f>89392</f>
        <v>89392</v>
      </c>
      <c r="BW45" s="19">
        <f>32467</f>
        <v>32467</v>
      </c>
      <c r="BX45" s="19">
        <f>94067</f>
        <v>94067</v>
      </c>
    </row>
    <row r="46" spans="1:76" x14ac:dyDescent="0.2">
      <c r="A46" s="21" t="s">
        <v>136</v>
      </c>
      <c r="B46" s="6" t="s">
        <v>74</v>
      </c>
      <c r="C46" s="20"/>
      <c r="D46" s="20"/>
      <c r="E46" s="20"/>
      <c r="F46" s="20"/>
      <c r="G46" s="20"/>
      <c r="H46" s="20"/>
      <c r="I46" s="20"/>
      <c r="J46" s="20">
        <f t="shared" si="21"/>
        <v>324662</v>
      </c>
      <c r="K46" s="20">
        <f t="shared" si="22"/>
        <v>327839.45000000007</v>
      </c>
      <c r="L46" s="20">
        <f>SUM(BB46:BE46)</f>
        <v>265772.81999999995</v>
      </c>
      <c r="M46" s="20">
        <f>SUM(BF46:BI46)</f>
        <v>209068.39</v>
      </c>
      <c r="N46" s="20">
        <f t="shared" si="10"/>
        <v>120619</v>
      </c>
      <c r="O46" s="20">
        <f t="shared" si="24"/>
        <v>148232.03</v>
      </c>
      <c r="P46" s="20">
        <f t="shared" si="25"/>
        <v>250849.21999999997</v>
      </c>
      <c r="Q46" s="8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109">
        <v>74606</v>
      </c>
      <c r="AU46" s="109">
        <v>68403</v>
      </c>
      <c r="AV46" s="109">
        <v>76991</v>
      </c>
      <c r="AW46" s="109">
        <v>104662</v>
      </c>
      <c r="AX46" s="109">
        <v>81806.27</v>
      </c>
      <c r="AY46" s="109">
        <v>79005.089999999967</v>
      </c>
      <c r="AZ46" s="109">
        <v>65582.73000000001</v>
      </c>
      <c r="BA46" s="109">
        <v>101445.36000000004</v>
      </c>
      <c r="BB46" s="109">
        <v>66799.819999999978</v>
      </c>
      <c r="BC46" s="109">
        <v>48217.619999999995</v>
      </c>
      <c r="BD46" s="109">
        <v>70436.929999999978</v>
      </c>
      <c r="BE46" s="109">
        <v>80318.450000000026</v>
      </c>
      <c r="BF46" s="32">
        <v>46904.7</v>
      </c>
      <c r="BG46" s="32">
        <v>42917.69</v>
      </c>
      <c r="BH46" s="19">
        <v>47026</v>
      </c>
      <c r="BI46" s="19">
        <v>72220</v>
      </c>
      <c r="BJ46" s="19">
        <v>47903</v>
      </c>
      <c r="BK46" s="19">
        <v>23413</v>
      </c>
      <c r="BL46" s="19">
        <v>23769</v>
      </c>
      <c r="BM46" s="62">
        <v>25534</v>
      </c>
      <c r="BN46" s="19">
        <v>18949.059999999998</v>
      </c>
      <c r="BO46" s="19">
        <v>34151.409999999996</v>
      </c>
      <c r="BP46" s="19">
        <v>40464.200000000004</v>
      </c>
      <c r="BQ46" s="19">
        <v>54667.360000000001</v>
      </c>
      <c r="BR46" s="19">
        <v>48654.859999999993</v>
      </c>
      <c r="BS46" s="19">
        <v>72584.56</v>
      </c>
      <c r="BT46" s="19">
        <v>54977.8</v>
      </c>
      <c r="BU46" s="19">
        <v>74632.000000000015</v>
      </c>
      <c r="BV46" s="19">
        <f>63817</f>
        <v>63817</v>
      </c>
      <c r="BW46" s="19">
        <f>38401</f>
        <v>38401</v>
      </c>
      <c r="BX46" s="19">
        <f>49838</f>
        <v>49838</v>
      </c>
    </row>
    <row r="47" spans="1:76" x14ac:dyDescent="0.2">
      <c r="A47" s="21" t="s">
        <v>137</v>
      </c>
      <c r="B47" s="6" t="s">
        <v>74</v>
      </c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>
        <f>SUM(BJ47:BM47)</f>
        <v>50405</v>
      </c>
      <c r="O47" s="20">
        <f t="shared" si="24"/>
        <v>188350.37</v>
      </c>
      <c r="P47" s="20">
        <f>SUM(BR47:BU47)</f>
        <v>200596.29</v>
      </c>
      <c r="Q47" s="8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109"/>
      <c r="AU47" s="109"/>
      <c r="AV47" s="109"/>
      <c r="AW47" s="109"/>
      <c r="AX47" s="109"/>
      <c r="AY47" s="109"/>
      <c r="AZ47" s="109"/>
      <c r="BA47" s="109"/>
      <c r="BB47" s="109"/>
      <c r="BC47" s="109"/>
      <c r="BD47" s="109"/>
      <c r="BE47" s="109"/>
      <c r="BF47" s="32"/>
      <c r="BG47" s="32"/>
      <c r="BH47" s="19"/>
      <c r="BI47" s="19"/>
      <c r="BJ47" s="19"/>
      <c r="BK47" s="19">
        <v>4509</v>
      </c>
      <c r="BL47" s="19">
        <v>17989</v>
      </c>
      <c r="BM47" s="19">
        <v>27907</v>
      </c>
      <c r="BN47" s="19">
        <v>25154.21</v>
      </c>
      <c r="BO47" s="19">
        <v>35503.880000000005</v>
      </c>
      <c r="BP47" s="19">
        <v>54972.719999999987</v>
      </c>
      <c r="BQ47" s="19">
        <v>72719.559999999983</v>
      </c>
      <c r="BR47" s="19">
        <v>51370.71</v>
      </c>
      <c r="BS47" s="19">
        <v>65094.930000000008</v>
      </c>
      <c r="BT47" s="19">
        <v>46938.42</v>
      </c>
      <c r="BU47" s="19">
        <v>37192.23000000001</v>
      </c>
      <c r="BV47" s="19">
        <f>38868</f>
        <v>38868</v>
      </c>
      <c r="BW47" s="19">
        <f>32810</f>
        <v>32810</v>
      </c>
      <c r="BX47" s="19">
        <f>31320</f>
        <v>31320</v>
      </c>
    </row>
    <row r="48" spans="1:76" x14ac:dyDescent="0.2">
      <c r="A48" s="26" t="s">
        <v>73</v>
      </c>
      <c r="B48" s="6" t="s">
        <v>74</v>
      </c>
      <c r="C48" s="27">
        <v>328435</v>
      </c>
      <c r="D48" s="27">
        <v>363120</v>
      </c>
      <c r="E48" s="27">
        <v>468248</v>
      </c>
      <c r="F48" s="27">
        <v>583483</v>
      </c>
      <c r="G48" s="27">
        <v>502203</v>
      </c>
      <c r="H48" s="27">
        <v>420325</v>
      </c>
      <c r="I48" s="27">
        <f>SUM(AP48:AS48)</f>
        <v>422946</v>
      </c>
      <c r="J48" s="27">
        <f t="shared" si="21"/>
        <v>479339</v>
      </c>
      <c r="K48" s="27">
        <f t="shared" si="22"/>
        <v>621866.93999999994</v>
      </c>
      <c r="L48" s="27">
        <f t="shared" si="23"/>
        <v>540325.10000000009</v>
      </c>
      <c r="M48" s="27">
        <f>SUM(BF48:BI48)</f>
        <v>421209.4</v>
      </c>
      <c r="N48" s="27">
        <f t="shared" si="10"/>
        <v>734773</v>
      </c>
      <c r="O48" s="27">
        <f t="shared" si="24"/>
        <v>416726.2</v>
      </c>
      <c r="P48" s="27">
        <f t="shared" si="25"/>
        <v>161232</v>
      </c>
      <c r="Q48" s="26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>
        <v>0</v>
      </c>
      <c r="AQ48" s="27">
        <v>107796.6</v>
      </c>
      <c r="AR48" s="27">
        <v>19771.7</v>
      </c>
      <c r="AS48" s="27">
        <v>295377.7</v>
      </c>
      <c r="AT48" s="27">
        <v>0</v>
      </c>
      <c r="AU48" s="27">
        <v>0</v>
      </c>
      <c r="AV48" s="28">
        <f t="shared" ref="AV48:BG48" si="28">SUM(AV49:AV50)</f>
        <v>56270</v>
      </c>
      <c r="AW48" s="28">
        <f t="shared" si="28"/>
        <v>423069</v>
      </c>
      <c r="AX48" s="28">
        <f t="shared" si="28"/>
        <v>34538.639999999999</v>
      </c>
      <c r="AY48" s="28">
        <f t="shared" si="28"/>
        <v>211804.59999999998</v>
      </c>
      <c r="AZ48" s="28">
        <f t="shared" si="28"/>
        <v>67230.100000000006</v>
      </c>
      <c r="BA48" s="28">
        <f t="shared" si="28"/>
        <v>308293.60000000003</v>
      </c>
      <c r="BB48" s="28">
        <f t="shared" si="28"/>
        <v>88512.6</v>
      </c>
      <c r="BC48" s="28">
        <f t="shared" si="28"/>
        <v>88846.8</v>
      </c>
      <c r="BD48" s="28">
        <f t="shared" si="28"/>
        <v>15569.7</v>
      </c>
      <c r="BE48" s="28">
        <f t="shared" si="28"/>
        <v>347396</v>
      </c>
      <c r="BF48" s="28">
        <f t="shared" si="28"/>
        <v>3028.4</v>
      </c>
      <c r="BG48" s="28">
        <f t="shared" si="28"/>
        <v>0</v>
      </c>
      <c r="BH48" s="28">
        <v>181071</v>
      </c>
      <c r="BI48" s="28">
        <v>237110</v>
      </c>
      <c r="BJ48" s="28">
        <v>175693</v>
      </c>
      <c r="BK48" s="28">
        <v>58981</v>
      </c>
      <c r="BL48" s="28">
        <v>91295</v>
      </c>
      <c r="BM48" s="63">
        <v>408804</v>
      </c>
      <c r="BN48" s="63">
        <f>BN18</f>
        <v>88068.2</v>
      </c>
      <c r="BO48" s="63">
        <f t="shared" ref="BO48:BQ48" si="29">BO18</f>
        <v>107671.70000000001</v>
      </c>
      <c r="BP48" s="63">
        <f t="shared" si="29"/>
        <v>43235.3</v>
      </c>
      <c r="BQ48" s="63">
        <f t="shared" si="29"/>
        <v>177751</v>
      </c>
      <c r="BR48" s="63">
        <v>0</v>
      </c>
      <c r="BS48" s="63">
        <v>50919</v>
      </c>
      <c r="BT48" s="63">
        <f>35495</f>
        <v>35495</v>
      </c>
      <c r="BU48" s="63">
        <f>74818</f>
        <v>74818</v>
      </c>
      <c r="BV48" s="63">
        <f>73153</f>
        <v>73153</v>
      </c>
      <c r="BW48" s="63">
        <f>90700</f>
        <v>90700</v>
      </c>
      <c r="BX48" s="63">
        <f>149778</f>
        <v>149778</v>
      </c>
    </row>
    <row r="49" spans="1:76" x14ac:dyDescent="0.2">
      <c r="A49" s="21" t="s">
        <v>135</v>
      </c>
      <c r="B49" s="6" t="s">
        <v>74</v>
      </c>
      <c r="C49" s="20"/>
      <c r="D49" s="20"/>
      <c r="E49" s="20"/>
      <c r="F49" s="20"/>
      <c r="G49" s="20"/>
      <c r="H49" s="20"/>
      <c r="I49" s="20"/>
      <c r="J49" s="20">
        <f t="shared" si="21"/>
        <v>225798</v>
      </c>
      <c r="K49" s="20">
        <f t="shared" si="22"/>
        <v>353129.14</v>
      </c>
      <c r="L49" s="20">
        <f t="shared" si="23"/>
        <v>193424.6</v>
      </c>
      <c r="M49" s="20">
        <f t="shared" ref="M49" si="30">SUM(BF49:BI49)</f>
        <v>176067.4</v>
      </c>
      <c r="N49" s="20">
        <f t="shared" si="10"/>
        <v>343972</v>
      </c>
      <c r="O49" s="20">
        <f t="shared" si="24"/>
        <v>205627</v>
      </c>
      <c r="P49" s="20">
        <f t="shared" si="25"/>
        <v>24271</v>
      </c>
      <c r="Q49" s="8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109" t="s">
        <v>5</v>
      </c>
      <c r="AU49" s="109" t="s">
        <v>5</v>
      </c>
      <c r="AV49" s="109">
        <v>0</v>
      </c>
      <c r="AW49" s="109">
        <v>225798</v>
      </c>
      <c r="AX49" s="109">
        <v>34538.639999999999</v>
      </c>
      <c r="AY49" s="109">
        <v>211804.59999999998</v>
      </c>
      <c r="AZ49" s="109">
        <v>4304.3999999999996</v>
      </c>
      <c r="BA49" s="109">
        <v>102481.50000000001</v>
      </c>
      <c r="BB49" s="109">
        <v>88512.6</v>
      </c>
      <c r="BC49" s="109">
        <v>15375.300000000001</v>
      </c>
      <c r="BD49" s="109">
        <v>15569.7</v>
      </c>
      <c r="BE49" s="109">
        <v>73967</v>
      </c>
      <c r="BF49" s="109">
        <v>3028.4</v>
      </c>
      <c r="BG49" s="109">
        <v>0</v>
      </c>
      <c r="BH49" s="109">
        <v>87161</v>
      </c>
      <c r="BI49" s="109">
        <v>85878</v>
      </c>
      <c r="BJ49" s="109">
        <v>175693</v>
      </c>
      <c r="BK49" s="109">
        <v>18203</v>
      </c>
      <c r="BL49" s="109">
        <v>56250</v>
      </c>
      <c r="BM49" s="109">
        <v>93826</v>
      </c>
      <c r="BN49" s="109">
        <v>0</v>
      </c>
      <c r="BO49" s="109">
        <v>48729.599999999999</v>
      </c>
      <c r="BP49" s="109">
        <v>18036.7</v>
      </c>
      <c r="BQ49" s="109">
        <v>138860.70000000001</v>
      </c>
      <c r="BR49" s="109">
        <v>0</v>
      </c>
      <c r="BS49" s="109">
        <v>0</v>
      </c>
      <c r="BT49" s="109">
        <f>0</f>
        <v>0</v>
      </c>
      <c r="BU49" s="109">
        <f>24271</f>
        <v>24271</v>
      </c>
      <c r="BV49" s="109">
        <f>38036</f>
        <v>38036</v>
      </c>
      <c r="BW49" s="109">
        <f>17678</f>
        <v>17678</v>
      </c>
      <c r="BX49" s="109">
        <f>13232</f>
        <v>13232</v>
      </c>
    </row>
    <row r="50" spans="1:76" x14ac:dyDescent="0.2">
      <c r="A50" s="21" t="s">
        <v>136</v>
      </c>
      <c r="B50" s="6" t="s">
        <v>74</v>
      </c>
      <c r="C50" s="20"/>
      <c r="D50" s="20"/>
      <c r="E50" s="20"/>
      <c r="F50" s="20"/>
      <c r="G50" s="20"/>
      <c r="H50" s="20"/>
      <c r="I50" s="20"/>
      <c r="J50" s="20">
        <f t="shared" si="21"/>
        <v>253541</v>
      </c>
      <c r="K50" s="20">
        <f t="shared" si="22"/>
        <v>268737.8</v>
      </c>
      <c r="L50" s="20">
        <f t="shared" si="23"/>
        <v>346900.5</v>
      </c>
      <c r="M50" s="20">
        <f>SUM(BF50:BI50)</f>
        <v>245141.2</v>
      </c>
      <c r="N50" s="20">
        <f t="shared" si="10"/>
        <v>337579</v>
      </c>
      <c r="O50" s="20">
        <f t="shared" si="24"/>
        <v>140581.4</v>
      </c>
      <c r="P50" s="20">
        <f t="shared" si="25"/>
        <v>73819</v>
      </c>
      <c r="Q50" s="8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109" t="s">
        <v>5</v>
      </c>
      <c r="AU50" s="109" t="s">
        <v>5</v>
      </c>
      <c r="AV50" s="109">
        <v>56270</v>
      </c>
      <c r="AW50" s="109">
        <v>197271</v>
      </c>
      <c r="AX50" s="109">
        <v>0</v>
      </c>
      <c r="AY50" s="109">
        <v>0</v>
      </c>
      <c r="AZ50" s="109">
        <v>62925.700000000004</v>
      </c>
      <c r="BA50" s="109">
        <v>205812.1</v>
      </c>
      <c r="BB50" s="109">
        <v>0</v>
      </c>
      <c r="BC50" s="109">
        <v>73471.5</v>
      </c>
      <c r="BD50" s="109">
        <v>0</v>
      </c>
      <c r="BE50" s="109">
        <v>273429</v>
      </c>
      <c r="BF50" s="109" t="s">
        <v>5</v>
      </c>
      <c r="BG50" s="109">
        <v>0</v>
      </c>
      <c r="BH50" s="109">
        <v>93909.6</v>
      </c>
      <c r="BI50" s="109">
        <v>151231.6</v>
      </c>
      <c r="BJ50" s="109">
        <v>0</v>
      </c>
      <c r="BK50" s="109">
        <v>40778</v>
      </c>
      <c r="BL50" s="109">
        <v>9849</v>
      </c>
      <c r="BM50" s="109">
        <v>286952</v>
      </c>
      <c r="BN50" s="109">
        <v>78583.5</v>
      </c>
      <c r="BO50" s="109">
        <v>58942.1</v>
      </c>
      <c r="BP50" s="109">
        <v>0</v>
      </c>
      <c r="BQ50" s="109">
        <v>3055.8</v>
      </c>
      <c r="BR50" s="109">
        <v>0</v>
      </c>
      <c r="BS50" s="109">
        <v>50919</v>
      </c>
      <c r="BT50" s="109">
        <f>0</f>
        <v>0</v>
      </c>
      <c r="BU50" s="109">
        <f>22900</f>
        <v>22900</v>
      </c>
      <c r="BV50" s="109">
        <f>0</f>
        <v>0</v>
      </c>
      <c r="BW50" s="109">
        <f>35975</f>
        <v>35975</v>
      </c>
      <c r="BX50" s="109">
        <f>0</f>
        <v>0</v>
      </c>
    </row>
    <row r="51" spans="1:76" x14ac:dyDescent="0.2">
      <c r="A51" s="193" t="s">
        <v>137</v>
      </c>
      <c r="B51" s="23" t="s">
        <v>74</v>
      </c>
      <c r="C51" s="64"/>
      <c r="D51" s="64"/>
      <c r="E51" s="64"/>
      <c r="F51" s="64"/>
      <c r="G51" s="64"/>
      <c r="H51" s="64"/>
      <c r="I51" s="64"/>
      <c r="J51" s="29"/>
      <c r="K51" s="29"/>
      <c r="L51" s="29"/>
      <c r="M51" s="29"/>
      <c r="N51" s="64">
        <f>SUM(BJ51:BM51)</f>
        <v>53223</v>
      </c>
      <c r="O51" s="64">
        <f t="shared" si="24"/>
        <v>70517.5</v>
      </c>
      <c r="P51" s="64">
        <f t="shared" si="25"/>
        <v>63142</v>
      </c>
      <c r="Q51" s="8"/>
      <c r="R51" s="64"/>
      <c r="S51" s="64"/>
      <c r="T51" s="64"/>
      <c r="U51" s="64"/>
      <c r="V51" s="64"/>
      <c r="W51" s="64"/>
      <c r="X51" s="64"/>
      <c r="Y51" s="64"/>
      <c r="Z51" s="64"/>
      <c r="AA51" s="64"/>
      <c r="AB51" s="64"/>
      <c r="AC51" s="64"/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/>
      <c r="AT51" s="64"/>
      <c r="AU51" s="64"/>
      <c r="AV51" s="64"/>
      <c r="AW51" s="64"/>
      <c r="AX51" s="64"/>
      <c r="AY51" s="64"/>
      <c r="AZ51" s="64"/>
      <c r="BA51" s="64"/>
      <c r="BB51" s="64"/>
      <c r="BC51" s="64"/>
      <c r="BD51" s="64"/>
      <c r="BE51" s="64"/>
      <c r="BF51" s="110"/>
      <c r="BG51" s="110"/>
      <c r="BH51" s="110"/>
      <c r="BI51" s="110"/>
      <c r="BJ51" s="110"/>
      <c r="BK51" s="110"/>
      <c r="BL51" s="110">
        <v>34279</v>
      </c>
      <c r="BM51" s="110">
        <v>18944</v>
      </c>
      <c r="BN51" s="110">
        <v>9484.7000000000007</v>
      </c>
      <c r="BO51" s="110">
        <v>0</v>
      </c>
      <c r="BP51" s="110">
        <v>25198.6</v>
      </c>
      <c r="BQ51" s="110">
        <v>35834.199999999997</v>
      </c>
      <c r="BR51" s="110">
        <v>0</v>
      </c>
      <c r="BS51" s="110">
        <v>0</v>
      </c>
      <c r="BT51" s="110">
        <f>35495</f>
        <v>35495</v>
      </c>
      <c r="BU51" s="110">
        <f>27647</f>
        <v>27647</v>
      </c>
      <c r="BV51" s="110">
        <f>35117</f>
        <v>35117</v>
      </c>
      <c r="BW51" s="110">
        <f>37048</f>
        <v>37048</v>
      </c>
      <c r="BX51" s="110">
        <f>136546</f>
        <v>136546</v>
      </c>
    </row>
  </sheetData>
  <phoneticPr fontId="32" type="noConversion"/>
  <hyperlinks>
    <hyperlink ref="A3" location="Содержание!A1" display="К содержанию" xr:uid="{0D9EF48F-EEBA-48BF-871E-6740388855EA}"/>
    <hyperlink ref="A22" location="Содержание!A1" display="К содержанию" xr:uid="{F21F4122-5B91-4A41-9FCC-6E225298835A}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E021F7-26B8-4EEB-AAA9-16BB2A94B344}">
  <dimension ref="A2:AS58"/>
  <sheetViews>
    <sheetView showGridLines="0" topLeftCell="A32" zoomScaleNormal="100" workbookViewId="0">
      <pane xSplit="1" topLeftCell="AK1" activePane="topRight" state="frozen"/>
      <selection pane="topRight" activeCell="AS48" sqref="AS48"/>
    </sheetView>
  </sheetViews>
  <sheetFormatPr defaultColWidth="9.140625" defaultRowHeight="14.25" outlineLevelRow="1" outlineLevelCol="1" x14ac:dyDescent="0.2"/>
  <cols>
    <col min="1" max="1" width="122.42578125" style="38" customWidth="1"/>
    <col min="2" max="15" width="9.28515625" style="5" bestFit="1" customWidth="1"/>
    <col min="16" max="16" width="9.140625" style="5"/>
    <col min="17" max="38" width="9.140625" style="5" customWidth="1" outlineLevel="1"/>
    <col min="39" max="41" width="9.28515625" style="5" bestFit="1" customWidth="1" outlineLevel="1"/>
    <col min="42" max="42" width="8.28515625" style="5" bestFit="1" customWidth="1" outlineLevel="1"/>
    <col min="43" max="43" width="9.140625" style="38" outlineLevel="1"/>
    <col min="44" max="44" width="8.28515625" style="38" bestFit="1" customWidth="1" outlineLevel="1"/>
    <col min="45" max="45" width="9.140625" style="38" outlineLevel="1"/>
    <col min="46" max="16384" width="9.140625" style="38"/>
  </cols>
  <sheetData>
    <row r="2" spans="1:45" ht="18" x14ac:dyDescent="0.25">
      <c r="A2" s="51" t="s">
        <v>138</v>
      </c>
    </row>
    <row r="3" spans="1:45" ht="15" x14ac:dyDescent="0.25">
      <c r="A3" s="164" t="s">
        <v>44</v>
      </c>
    </row>
    <row r="5" spans="1:45" x14ac:dyDescent="0.2">
      <c r="A5" s="33" t="s">
        <v>57</v>
      </c>
      <c r="B5" s="71">
        <v>2011</v>
      </c>
      <c r="C5" s="71">
        <v>2012</v>
      </c>
      <c r="D5" s="71">
        <v>2013</v>
      </c>
      <c r="E5" s="71">
        <v>2014</v>
      </c>
      <c r="F5" s="71">
        <v>2015</v>
      </c>
      <c r="G5" s="71">
        <v>2016</v>
      </c>
      <c r="H5" s="71">
        <v>2017</v>
      </c>
      <c r="I5" s="71">
        <v>2018</v>
      </c>
      <c r="J5" s="71">
        <v>2019</v>
      </c>
      <c r="K5" s="71">
        <v>2020</v>
      </c>
      <c r="L5" s="71">
        <v>2021</v>
      </c>
      <c r="M5" s="71">
        <v>2022</v>
      </c>
      <c r="N5" s="71">
        <v>2023</v>
      </c>
      <c r="O5" s="71">
        <v>2024</v>
      </c>
      <c r="P5" s="72"/>
      <c r="Q5" s="71" t="s">
        <v>237</v>
      </c>
      <c r="R5" s="71" t="s">
        <v>238</v>
      </c>
      <c r="S5" s="71" t="s">
        <v>239</v>
      </c>
      <c r="T5" s="71" t="s">
        <v>240</v>
      </c>
      <c r="U5" s="71" t="s">
        <v>241</v>
      </c>
      <c r="V5" s="71" t="s">
        <v>242</v>
      </c>
      <c r="W5" s="71" t="s">
        <v>243</v>
      </c>
      <c r="X5" s="71" t="s">
        <v>244</v>
      </c>
      <c r="Y5" s="71" t="s">
        <v>245</v>
      </c>
      <c r="Z5" s="71" t="s">
        <v>246</v>
      </c>
      <c r="AA5" s="71" t="s">
        <v>247</v>
      </c>
      <c r="AB5" s="71" t="s">
        <v>248</v>
      </c>
      <c r="AC5" s="71" t="s">
        <v>249</v>
      </c>
      <c r="AD5" s="71" t="s">
        <v>250</v>
      </c>
      <c r="AE5" s="71" t="s">
        <v>251</v>
      </c>
      <c r="AF5" s="71" t="s">
        <v>252</v>
      </c>
      <c r="AG5" s="71" t="s">
        <v>253</v>
      </c>
      <c r="AH5" s="71" t="s">
        <v>254</v>
      </c>
      <c r="AI5" s="71" t="s">
        <v>255</v>
      </c>
      <c r="AJ5" s="71" t="s">
        <v>256</v>
      </c>
      <c r="AK5" s="87" t="s">
        <v>257</v>
      </c>
      <c r="AL5" s="87" t="s">
        <v>258</v>
      </c>
      <c r="AM5" s="87" t="s">
        <v>259</v>
      </c>
      <c r="AN5" s="87" t="s">
        <v>260</v>
      </c>
      <c r="AO5" s="87" t="s">
        <v>261</v>
      </c>
      <c r="AP5" s="87" t="s">
        <v>262</v>
      </c>
      <c r="AQ5" s="87" t="s">
        <v>396</v>
      </c>
      <c r="AR5" s="87" t="s">
        <v>403</v>
      </c>
      <c r="AS5" s="87" t="s">
        <v>470</v>
      </c>
    </row>
    <row r="6" spans="1:45" hidden="1" outlineLevel="1" x14ac:dyDescent="0.2">
      <c r="A6" s="5" t="s">
        <v>140</v>
      </c>
      <c r="B6" s="32">
        <f t="shared" ref="B6:B44" si="0">SUM(Q6:R6)</f>
        <v>19359</v>
      </c>
      <c r="C6" s="32">
        <f t="shared" ref="C6:C44" si="1">SUM(S6:T6)</f>
        <v>19424</v>
      </c>
      <c r="D6" s="32">
        <f t="shared" ref="D6:D44" si="2">SUM(U6:V6)</f>
        <v>29548</v>
      </c>
      <c r="E6" s="32">
        <f t="shared" ref="E6:E44" si="3">SUM(W6:X6)</f>
        <v>37560</v>
      </c>
      <c r="F6" s="32">
        <f t="shared" ref="F6:F44" si="4">SUM(Y6:Z6)</f>
        <v>32474</v>
      </c>
      <c r="G6" s="32">
        <f t="shared" ref="G6:G44" si="5">SUM(AA6:AB6)</f>
        <v>33499</v>
      </c>
      <c r="H6" s="32">
        <f t="shared" ref="H6:H44" si="6">SUM(AC6:AD6)</f>
        <v>54964</v>
      </c>
      <c r="I6" s="32">
        <f t="shared" ref="I6:I44" si="7">SUM(AE6:AF6)</f>
        <v>58072</v>
      </c>
      <c r="J6" s="32">
        <f t="shared" ref="J6:J44" si="8">SUM(AG6:AH6)</f>
        <v>62609</v>
      </c>
      <c r="K6" s="32">
        <f>SUM(AI6:AJ6)</f>
        <v>51801</v>
      </c>
      <c r="L6" s="32">
        <f>SUM(AK6:AL6)</f>
        <v>53384</v>
      </c>
      <c r="M6" s="32"/>
      <c r="N6" s="32"/>
      <c r="O6" s="32"/>
      <c r="Q6" s="32">
        <v>8147</v>
      </c>
      <c r="R6" s="32">
        <v>11212</v>
      </c>
      <c r="S6" s="32">
        <v>8329</v>
      </c>
      <c r="T6" s="32">
        <v>11095</v>
      </c>
      <c r="U6" s="32">
        <v>12249</v>
      </c>
      <c r="V6" s="32">
        <v>17299</v>
      </c>
      <c r="W6" s="32">
        <v>8873</v>
      </c>
      <c r="X6" s="32">
        <v>28687</v>
      </c>
      <c r="Y6" s="32">
        <v>13857</v>
      </c>
      <c r="Z6" s="32">
        <v>18617</v>
      </c>
      <c r="AA6" s="32">
        <v>11828</v>
      </c>
      <c r="AB6" s="32">
        <v>21671</v>
      </c>
      <c r="AC6" s="32">
        <v>21941</v>
      </c>
      <c r="AD6" s="32">
        <v>33023</v>
      </c>
      <c r="AE6" s="32">
        <v>17762</v>
      </c>
      <c r="AF6" s="32">
        <v>40310</v>
      </c>
      <c r="AG6" s="32">
        <v>30229</v>
      </c>
      <c r="AH6" s="32">
        <v>32380</v>
      </c>
      <c r="AI6" s="32">
        <v>20873</v>
      </c>
      <c r="AJ6" s="32">
        <v>30928</v>
      </c>
      <c r="AK6" s="32">
        <v>23120</v>
      </c>
      <c r="AL6" s="32">
        <v>30264</v>
      </c>
      <c r="AM6" s="32"/>
      <c r="AN6" s="32"/>
      <c r="AO6" s="32"/>
      <c r="AP6" s="32"/>
      <c r="AQ6" s="32"/>
      <c r="AR6" s="32"/>
      <c r="AS6" s="32"/>
    </row>
    <row r="7" spans="1:45" ht="25.5" hidden="1" outlineLevel="1" x14ac:dyDescent="0.2">
      <c r="A7" s="165" t="s">
        <v>141</v>
      </c>
      <c r="B7" s="32">
        <f t="shared" si="0"/>
        <v>0</v>
      </c>
      <c r="C7" s="32">
        <f t="shared" si="1"/>
        <v>0</v>
      </c>
      <c r="D7" s="32">
        <f t="shared" si="2"/>
        <v>0</v>
      </c>
      <c r="E7" s="32">
        <f t="shared" si="3"/>
        <v>0</v>
      </c>
      <c r="F7" s="32">
        <f t="shared" si="4"/>
        <v>0</v>
      </c>
      <c r="G7" s="32">
        <f t="shared" si="5"/>
        <v>0</v>
      </c>
      <c r="H7" s="32">
        <f t="shared" si="6"/>
        <v>0</v>
      </c>
      <c r="I7" s="32">
        <f t="shared" si="7"/>
        <v>0</v>
      </c>
      <c r="J7" s="32">
        <f t="shared" si="8"/>
        <v>10875</v>
      </c>
      <c r="K7" s="32">
        <f t="shared" ref="K7:K44" si="9">SUM(AI7:AJ7)</f>
        <v>18675</v>
      </c>
      <c r="L7" s="32">
        <f t="shared" ref="L7:L44" si="10">SUM(AK7:AL7)</f>
        <v>21885</v>
      </c>
      <c r="M7" s="32"/>
      <c r="N7" s="32"/>
      <c r="O7" s="32"/>
      <c r="Q7" s="32">
        <v>0</v>
      </c>
      <c r="R7" s="32">
        <v>0</v>
      </c>
      <c r="S7" s="32">
        <v>0</v>
      </c>
      <c r="T7" s="32">
        <v>0</v>
      </c>
      <c r="U7" s="32">
        <v>0</v>
      </c>
      <c r="V7" s="32">
        <v>0</v>
      </c>
      <c r="W7" s="32">
        <v>0</v>
      </c>
      <c r="X7" s="32">
        <v>0</v>
      </c>
      <c r="Y7" s="32">
        <v>0</v>
      </c>
      <c r="Z7" s="32">
        <v>0</v>
      </c>
      <c r="AA7" s="32">
        <v>0</v>
      </c>
      <c r="AB7" s="32">
        <v>0</v>
      </c>
      <c r="AC7" s="32">
        <v>0</v>
      </c>
      <c r="AD7" s="32">
        <v>0</v>
      </c>
      <c r="AE7" s="32">
        <v>0</v>
      </c>
      <c r="AF7" s="32">
        <v>0</v>
      </c>
      <c r="AG7" s="32">
        <v>3686</v>
      </c>
      <c r="AH7" s="32">
        <v>7189</v>
      </c>
      <c r="AI7" s="32">
        <v>5975</v>
      </c>
      <c r="AJ7" s="32">
        <v>12700</v>
      </c>
      <c r="AK7" s="32">
        <v>10022</v>
      </c>
      <c r="AL7" s="32">
        <v>11863</v>
      </c>
      <c r="AM7" s="32"/>
      <c r="AN7" s="32"/>
      <c r="AO7" s="32"/>
      <c r="AP7" s="32"/>
      <c r="AQ7" s="32"/>
      <c r="AR7" s="32"/>
      <c r="AS7" s="32"/>
    </row>
    <row r="8" spans="1:45" hidden="1" outlineLevel="1" x14ac:dyDescent="0.2">
      <c r="A8" s="5" t="s">
        <v>142</v>
      </c>
      <c r="B8" s="32">
        <f t="shared" si="0"/>
        <v>3382</v>
      </c>
      <c r="C8" s="32">
        <f t="shared" si="1"/>
        <v>7470</v>
      </c>
      <c r="D8" s="32">
        <f t="shared" si="2"/>
        <v>10373</v>
      </c>
      <c r="E8" s="32">
        <f t="shared" si="3"/>
        <v>13921</v>
      </c>
      <c r="F8" s="32">
        <f t="shared" si="4"/>
        <v>9930</v>
      </c>
      <c r="G8" s="32">
        <f t="shared" si="5"/>
        <v>15523</v>
      </c>
      <c r="H8" s="32">
        <f t="shared" si="6"/>
        <v>15681</v>
      </c>
      <c r="I8" s="32">
        <f t="shared" si="7"/>
        <v>14255</v>
      </c>
      <c r="J8" s="32">
        <f t="shared" si="8"/>
        <v>10846</v>
      </c>
      <c r="K8" s="32">
        <f t="shared" si="9"/>
        <v>8179</v>
      </c>
      <c r="L8" s="32">
        <f t="shared" si="10"/>
        <v>11869</v>
      </c>
      <c r="M8" s="32"/>
      <c r="N8" s="32"/>
      <c r="O8" s="32"/>
      <c r="Q8" s="32">
        <v>1265</v>
      </c>
      <c r="R8" s="32">
        <v>2117</v>
      </c>
      <c r="S8" s="32">
        <v>3828</v>
      </c>
      <c r="T8" s="32">
        <v>3642</v>
      </c>
      <c r="U8" s="32">
        <v>4386</v>
      </c>
      <c r="V8" s="32">
        <v>5987</v>
      </c>
      <c r="W8" s="32">
        <v>5666</v>
      </c>
      <c r="X8" s="32">
        <v>8255</v>
      </c>
      <c r="Y8" s="32">
        <v>4291</v>
      </c>
      <c r="Z8" s="32">
        <v>5639</v>
      </c>
      <c r="AA8" s="32">
        <v>7914</v>
      </c>
      <c r="AB8" s="32">
        <v>7609</v>
      </c>
      <c r="AC8" s="32">
        <v>7075</v>
      </c>
      <c r="AD8" s="32">
        <v>8606</v>
      </c>
      <c r="AE8" s="32">
        <v>6937</v>
      </c>
      <c r="AF8" s="32">
        <v>7318</v>
      </c>
      <c r="AG8" s="32">
        <v>5647</v>
      </c>
      <c r="AH8" s="32">
        <v>5199</v>
      </c>
      <c r="AI8" s="32">
        <v>4020</v>
      </c>
      <c r="AJ8" s="32">
        <v>4159</v>
      </c>
      <c r="AK8" s="32">
        <v>6742</v>
      </c>
      <c r="AL8" s="32">
        <v>5127</v>
      </c>
      <c r="AM8" s="32"/>
      <c r="AN8" s="32"/>
      <c r="AO8" s="32"/>
      <c r="AP8" s="32"/>
      <c r="AQ8" s="32"/>
      <c r="AR8" s="32"/>
      <c r="AS8" s="32"/>
    </row>
    <row r="9" spans="1:45" collapsed="1" x14ac:dyDescent="0.2">
      <c r="A9" s="34" t="s">
        <v>45</v>
      </c>
      <c r="B9" s="75">
        <f t="shared" si="0"/>
        <v>22741</v>
      </c>
      <c r="C9" s="75">
        <f t="shared" si="1"/>
        <v>26894</v>
      </c>
      <c r="D9" s="75">
        <f t="shared" si="2"/>
        <v>39921</v>
      </c>
      <c r="E9" s="75">
        <f t="shared" si="3"/>
        <v>51481</v>
      </c>
      <c r="F9" s="75">
        <f t="shared" si="4"/>
        <v>42404</v>
      </c>
      <c r="G9" s="75">
        <f t="shared" si="5"/>
        <v>49022</v>
      </c>
      <c r="H9" s="75">
        <f t="shared" si="6"/>
        <v>70645</v>
      </c>
      <c r="I9" s="75">
        <f t="shared" si="7"/>
        <v>72327</v>
      </c>
      <c r="J9" s="75">
        <f t="shared" si="8"/>
        <v>84330</v>
      </c>
      <c r="K9" s="75">
        <f t="shared" si="9"/>
        <v>78655</v>
      </c>
      <c r="L9" s="75">
        <f t="shared" si="10"/>
        <v>87138</v>
      </c>
      <c r="M9" s="75">
        <f>SUM(AM9:AN9)</f>
        <v>80556</v>
      </c>
      <c r="N9" s="75">
        <f>90652</f>
        <v>90652</v>
      </c>
      <c r="O9" s="75">
        <f>130946</f>
        <v>130946</v>
      </c>
      <c r="Q9" s="75">
        <v>9412</v>
      </c>
      <c r="R9" s="75">
        <v>13329</v>
      </c>
      <c r="S9" s="75">
        <v>12157</v>
      </c>
      <c r="T9" s="75">
        <v>14737</v>
      </c>
      <c r="U9" s="75">
        <v>16635</v>
      </c>
      <c r="V9" s="75">
        <v>23286</v>
      </c>
      <c r="W9" s="75">
        <v>14539</v>
      </c>
      <c r="X9" s="75">
        <v>36942</v>
      </c>
      <c r="Y9" s="75">
        <v>18148</v>
      </c>
      <c r="Z9" s="75">
        <v>24256</v>
      </c>
      <c r="AA9" s="75">
        <v>19742</v>
      </c>
      <c r="AB9" s="75">
        <v>29280</v>
      </c>
      <c r="AC9" s="75">
        <v>29016</v>
      </c>
      <c r="AD9" s="75">
        <v>41629</v>
      </c>
      <c r="AE9" s="75">
        <v>24699</v>
      </c>
      <c r="AF9" s="75">
        <v>47628</v>
      </c>
      <c r="AG9" s="75">
        <v>39562</v>
      </c>
      <c r="AH9" s="75">
        <v>44768</v>
      </c>
      <c r="AI9" s="75">
        <v>30868</v>
      </c>
      <c r="AJ9" s="75">
        <v>47787</v>
      </c>
      <c r="AK9" s="75">
        <v>39884</v>
      </c>
      <c r="AL9" s="75">
        <v>47254</v>
      </c>
      <c r="AM9" s="75">
        <v>32740</v>
      </c>
      <c r="AN9" s="75">
        <v>47816</v>
      </c>
      <c r="AO9" s="75">
        <f>33499</f>
        <v>33499</v>
      </c>
      <c r="AP9" s="75">
        <f>N9-AO9</f>
        <v>57153</v>
      </c>
      <c r="AQ9" s="75">
        <f>57360</f>
        <v>57360</v>
      </c>
      <c r="AR9" s="75">
        <f>O9-AQ9</f>
        <v>73586</v>
      </c>
      <c r="AS9" s="75">
        <f>77413</f>
        <v>77413</v>
      </c>
    </row>
    <row r="10" spans="1:45" hidden="1" outlineLevel="1" x14ac:dyDescent="0.2">
      <c r="A10" s="5" t="s">
        <v>143</v>
      </c>
      <c r="B10" s="32">
        <f t="shared" si="0"/>
        <v>0</v>
      </c>
      <c r="C10" s="32">
        <f t="shared" si="1"/>
        <v>0</v>
      </c>
      <c r="D10" s="32">
        <f t="shared" si="2"/>
        <v>0</v>
      </c>
      <c r="E10" s="32">
        <f t="shared" si="3"/>
        <v>0</v>
      </c>
      <c r="F10" s="32">
        <f t="shared" si="4"/>
        <v>0</v>
      </c>
      <c r="G10" s="32">
        <f t="shared" si="5"/>
        <v>0</v>
      </c>
      <c r="H10" s="32">
        <f t="shared" si="6"/>
        <v>0</v>
      </c>
      <c r="I10" s="32">
        <f t="shared" si="7"/>
        <v>-42013</v>
      </c>
      <c r="J10" s="32">
        <f t="shared" si="8"/>
        <v>-44150</v>
      </c>
      <c r="K10" s="32">
        <f t="shared" si="9"/>
        <v>-33744</v>
      </c>
      <c r="L10" s="32">
        <f t="shared" si="10"/>
        <v>-31676</v>
      </c>
      <c r="M10" s="32">
        <f t="shared" ref="M10:N44" si="11">SUM(AM10:AN10)</f>
        <v>0</v>
      </c>
      <c r="N10" s="32">
        <f t="shared" si="11"/>
        <v>0</v>
      </c>
      <c r="O10" s="32"/>
      <c r="Q10" s="32">
        <v>0</v>
      </c>
      <c r="R10" s="32">
        <v>0</v>
      </c>
      <c r="S10" s="32">
        <v>0</v>
      </c>
      <c r="T10" s="32">
        <v>0</v>
      </c>
      <c r="U10" s="32">
        <v>0</v>
      </c>
      <c r="V10" s="32">
        <v>0</v>
      </c>
      <c r="W10" s="32">
        <v>0</v>
      </c>
      <c r="X10" s="32">
        <v>0</v>
      </c>
      <c r="Y10" s="32">
        <v>0</v>
      </c>
      <c r="Z10" s="32">
        <v>0</v>
      </c>
      <c r="AA10" s="32">
        <v>0</v>
      </c>
      <c r="AB10" s="32">
        <v>0</v>
      </c>
      <c r="AC10" s="32">
        <v>0</v>
      </c>
      <c r="AD10" s="32">
        <v>0</v>
      </c>
      <c r="AE10" s="32">
        <v>0</v>
      </c>
      <c r="AF10" s="32">
        <v>-42013</v>
      </c>
      <c r="AG10" s="32">
        <v>-21497</v>
      </c>
      <c r="AH10" s="32">
        <v>-22653</v>
      </c>
      <c r="AI10" s="32">
        <v>-14155</v>
      </c>
      <c r="AJ10" s="32">
        <v>-19589</v>
      </c>
      <c r="AK10" s="32">
        <v>-14470</v>
      </c>
      <c r="AL10" s="75">
        <v>-17206</v>
      </c>
      <c r="AM10" s="75"/>
      <c r="AN10" s="75"/>
      <c r="AO10" s="75"/>
      <c r="AP10" s="75">
        <f t="shared" ref="AP10:AP44" si="12">N10-AO10</f>
        <v>0</v>
      </c>
      <c r="AQ10" s="75"/>
      <c r="AR10" s="75">
        <f t="shared" ref="AR10:AR13" si="13">O10-AQ10</f>
        <v>0</v>
      </c>
      <c r="AS10" s="75"/>
    </row>
    <row r="11" spans="1:45" hidden="1" outlineLevel="1" x14ac:dyDescent="0.2">
      <c r="A11" s="5" t="s">
        <v>144</v>
      </c>
      <c r="B11" s="32">
        <f t="shared" si="0"/>
        <v>0</v>
      </c>
      <c r="C11" s="32">
        <f t="shared" si="1"/>
        <v>0</v>
      </c>
      <c r="D11" s="32">
        <f t="shared" si="2"/>
        <v>0</v>
      </c>
      <c r="E11" s="32">
        <f t="shared" si="3"/>
        <v>0</v>
      </c>
      <c r="F11" s="32">
        <f t="shared" si="4"/>
        <v>0</v>
      </c>
      <c r="G11" s="32">
        <f t="shared" si="5"/>
        <v>0</v>
      </c>
      <c r="H11" s="32">
        <f t="shared" si="6"/>
        <v>0</v>
      </c>
      <c r="I11" s="32">
        <f t="shared" si="7"/>
        <v>0</v>
      </c>
      <c r="J11" s="32">
        <f t="shared" si="8"/>
        <v>-9592</v>
      </c>
      <c r="K11" s="32">
        <f t="shared" si="9"/>
        <v>-15605</v>
      </c>
      <c r="L11" s="32">
        <f t="shared" si="10"/>
        <v>-17904</v>
      </c>
      <c r="M11" s="32">
        <f t="shared" si="11"/>
        <v>0</v>
      </c>
      <c r="N11" s="32">
        <f t="shared" si="11"/>
        <v>0</v>
      </c>
      <c r="O11" s="32"/>
      <c r="Q11" s="32">
        <v>0</v>
      </c>
      <c r="R11" s="32">
        <v>0</v>
      </c>
      <c r="S11" s="32">
        <v>0</v>
      </c>
      <c r="T11" s="32">
        <v>0</v>
      </c>
      <c r="U11" s="32">
        <v>0</v>
      </c>
      <c r="V11" s="32">
        <v>0</v>
      </c>
      <c r="W11" s="32">
        <v>0</v>
      </c>
      <c r="X11" s="32">
        <v>0</v>
      </c>
      <c r="Y11" s="32">
        <v>0</v>
      </c>
      <c r="Z11" s="32">
        <v>0</v>
      </c>
      <c r="AA11" s="32">
        <v>0</v>
      </c>
      <c r="AB11" s="32">
        <v>0</v>
      </c>
      <c r="AC11" s="32">
        <v>0</v>
      </c>
      <c r="AD11" s="32">
        <v>0</v>
      </c>
      <c r="AE11" s="32">
        <v>0</v>
      </c>
      <c r="AF11" s="32">
        <v>0</v>
      </c>
      <c r="AG11" s="32">
        <v>-3440</v>
      </c>
      <c r="AH11" s="32">
        <v>-6152</v>
      </c>
      <c r="AI11" s="32">
        <v>-5457</v>
      </c>
      <c r="AJ11" s="32">
        <v>-10148</v>
      </c>
      <c r="AK11" s="32">
        <v>-7583</v>
      </c>
      <c r="AL11" s="75">
        <v>-10321</v>
      </c>
      <c r="AM11" s="75"/>
      <c r="AN11" s="75"/>
      <c r="AO11" s="75"/>
      <c r="AP11" s="75">
        <f t="shared" si="12"/>
        <v>0</v>
      </c>
      <c r="AQ11" s="75"/>
      <c r="AR11" s="75">
        <f t="shared" si="13"/>
        <v>0</v>
      </c>
      <c r="AS11" s="75"/>
    </row>
    <row r="12" spans="1:45" hidden="1" outlineLevel="1" x14ac:dyDescent="0.2">
      <c r="A12" s="5" t="s">
        <v>145</v>
      </c>
      <c r="B12" s="32">
        <f t="shared" si="0"/>
        <v>0</v>
      </c>
      <c r="C12" s="32">
        <f t="shared" si="1"/>
        <v>0</v>
      </c>
      <c r="D12" s="32">
        <f t="shared" si="2"/>
        <v>0</v>
      </c>
      <c r="E12" s="32">
        <f t="shared" si="3"/>
        <v>0</v>
      </c>
      <c r="F12" s="32">
        <f t="shared" si="4"/>
        <v>0</v>
      </c>
      <c r="G12" s="32">
        <f t="shared" si="5"/>
        <v>0</v>
      </c>
      <c r="H12" s="32">
        <f t="shared" si="6"/>
        <v>0</v>
      </c>
      <c r="I12" s="32">
        <f t="shared" si="7"/>
        <v>-13259</v>
      </c>
      <c r="J12" s="32">
        <f t="shared" si="8"/>
        <v>-10531</v>
      </c>
      <c r="K12" s="32">
        <f t="shared" si="9"/>
        <v>-7391</v>
      </c>
      <c r="L12" s="32">
        <f t="shared" si="10"/>
        <v>-9776</v>
      </c>
      <c r="M12" s="32">
        <f t="shared" si="11"/>
        <v>0</v>
      </c>
      <c r="N12" s="32">
        <f t="shared" si="11"/>
        <v>0</v>
      </c>
      <c r="O12" s="32"/>
      <c r="Q12" s="32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2">
        <v>0</v>
      </c>
      <c r="Y12" s="32">
        <v>0</v>
      </c>
      <c r="Z12" s="32">
        <v>0</v>
      </c>
      <c r="AA12" s="32">
        <v>0</v>
      </c>
      <c r="AB12" s="32">
        <v>0</v>
      </c>
      <c r="AC12" s="32">
        <v>0</v>
      </c>
      <c r="AD12" s="32">
        <v>0</v>
      </c>
      <c r="AE12" s="32">
        <v>0</v>
      </c>
      <c r="AF12" s="32">
        <v>-13259</v>
      </c>
      <c r="AG12" s="32">
        <v>-5526</v>
      </c>
      <c r="AH12" s="32">
        <v>-5005</v>
      </c>
      <c r="AI12" s="32">
        <v>-3738</v>
      </c>
      <c r="AJ12" s="32">
        <v>-3653</v>
      </c>
      <c r="AK12" s="32">
        <v>-4033</v>
      </c>
      <c r="AL12" s="75">
        <v>-5743</v>
      </c>
      <c r="AM12" s="75"/>
      <c r="AN12" s="75"/>
      <c r="AO12" s="75"/>
      <c r="AP12" s="75">
        <f t="shared" si="12"/>
        <v>0</v>
      </c>
      <c r="AQ12" s="75"/>
      <c r="AR12" s="75">
        <f t="shared" si="13"/>
        <v>0</v>
      </c>
      <c r="AS12" s="75"/>
    </row>
    <row r="13" spans="1:45" collapsed="1" x14ac:dyDescent="0.2">
      <c r="A13" s="34" t="s">
        <v>139</v>
      </c>
      <c r="B13" s="75">
        <f t="shared" si="0"/>
        <v>-11888</v>
      </c>
      <c r="C13" s="75">
        <f t="shared" si="1"/>
        <v>-17494</v>
      </c>
      <c r="D13" s="75">
        <f t="shared" si="2"/>
        <v>-27553</v>
      </c>
      <c r="E13" s="75">
        <f t="shared" si="3"/>
        <v>-35685</v>
      </c>
      <c r="F13" s="75">
        <f t="shared" si="4"/>
        <v>-29405</v>
      </c>
      <c r="G13" s="75">
        <f t="shared" si="5"/>
        <v>-36813</v>
      </c>
      <c r="H13" s="75">
        <f t="shared" si="6"/>
        <v>-52644</v>
      </c>
      <c r="I13" s="75">
        <f t="shared" si="7"/>
        <v>-55272</v>
      </c>
      <c r="J13" s="75">
        <f t="shared" si="8"/>
        <v>-64273</v>
      </c>
      <c r="K13" s="75">
        <f t="shared" si="9"/>
        <v>-56740</v>
      </c>
      <c r="L13" s="75">
        <f t="shared" si="10"/>
        <v>-59356</v>
      </c>
      <c r="M13" s="75">
        <f t="shared" si="11"/>
        <v>-52353</v>
      </c>
      <c r="N13" s="75">
        <f>-60681</f>
        <v>-60681</v>
      </c>
      <c r="O13" s="75">
        <f>-89568</f>
        <v>-89568</v>
      </c>
      <c r="Q13" s="75">
        <v>-4753</v>
      </c>
      <c r="R13" s="75">
        <v>-7135</v>
      </c>
      <c r="S13" s="75">
        <v>-7797</v>
      </c>
      <c r="T13" s="75">
        <v>-9697</v>
      </c>
      <c r="U13" s="75">
        <v>-11064</v>
      </c>
      <c r="V13" s="75">
        <v>-16489</v>
      </c>
      <c r="W13" s="75">
        <v>-10759</v>
      </c>
      <c r="X13" s="75">
        <v>-24926</v>
      </c>
      <c r="Y13" s="75">
        <v>-12584</v>
      </c>
      <c r="Z13" s="75">
        <v>-16821</v>
      </c>
      <c r="AA13" s="75">
        <v>-15685</v>
      </c>
      <c r="AB13" s="75">
        <v>-21128</v>
      </c>
      <c r="AC13" s="75">
        <v>-22908</v>
      </c>
      <c r="AD13" s="75">
        <v>-29736</v>
      </c>
      <c r="AE13" s="75">
        <v>-19126</v>
      </c>
      <c r="AF13" s="75">
        <v>-36146</v>
      </c>
      <c r="AG13" s="75">
        <v>-30463</v>
      </c>
      <c r="AH13" s="75">
        <v>-33810</v>
      </c>
      <c r="AI13" s="75">
        <v>-23350</v>
      </c>
      <c r="AJ13" s="75">
        <v>-33390</v>
      </c>
      <c r="AK13" s="75">
        <v>-26086</v>
      </c>
      <c r="AL13" s="75">
        <v>-33270</v>
      </c>
      <c r="AM13" s="75">
        <v>-22982</v>
      </c>
      <c r="AN13" s="75">
        <v>-29371</v>
      </c>
      <c r="AO13" s="75">
        <v>-22253</v>
      </c>
      <c r="AP13" s="75">
        <f t="shared" si="12"/>
        <v>-38428</v>
      </c>
      <c r="AQ13" s="75">
        <f>-37792</f>
        <v>-37792</v>
      </c>
      <c r="AR13" s="75">
        <f t="shared" si="13"/>
        <v>-51776</v>
      </c>
      <c r="AS13" s="75">
        <f>-56526</f>
        <v>-56526</v>
      </c>
    </row>
    <row r="14" spans="1:45" hidden="1" outlineLevel="1" x14ac:dyDescent="0.2">
      <c r="A14" s="5" t="s">
        <v>213</v>
      </c>
      <c r="B14" s="32">
        <f t="shared" si="0"/>
        <v>0</v>
      </c>
      <c r="C14" s="32">
        <f t="shared" si="1"/>
        <v>0</v>
      </c>
      <c r="D14" s="32">
        <f t="shared" si="2"/>
        <v>0</v>
      </c>
      <c r="E14" s="32">
        <f t="shared" si="3"/>
        <v>0</v>
      </c>
      <c r="F14" s="32">
        <f t="shared" si="4"/>
        <v>0</v>
      </c>
      <c r="G14" s="32">
        <f t="shared" si="5"/>
        <v>0</v>
      </c>
      <c r="H14" s="32">
        <f t="shared" si="6"/>
        <v>0</v>
      </c>
      <c r="I14" s="32">
        <f t="shared" si="7"/>
        <v>16059</v>
      </c>
      <c r="J14" s="32">
        <f t="shared" si="8"/>
        <v>18459</v>
      </c>
      <c r="K14" s="32">
        <f t="shared" si="9"/>
        <v>18057</v>
      </c>
      <c r="L14" s="32">
        <f t="shared" si="10"/>
        <v>21708</v>
      </c>
      <c r="M14" s="32">
        <f t="shared" si="11"/>
        <v>0</v>
      </c>
      <c r="N14" s="32">
        <f t="shared" si="11"/>
        <v>0</v>
      </c>
      <c r="O14" s="32"/>
      <c r="Q14" s="32">
        <v>0</v>
      </c>
      <c r="R14" s="32">
        <v>0</v>
      </c>
      <c r="S14" s="32">
        <v>0</v>
      </c>
      <c r="T14" s="32">
        <v>0</v>
      </c>
      <c r="U14" s="32">
        <v>0</v>
      </c>
      <c r="V14" s="32">
        <v>0</v>
      </c>
      <c r="W14" s="32">
        <v>0</v>
      </c>
      <c r="X14" s="32">
        <v>0</v>
      </c>
      <c r="Y14" s="32">
        <v>0</v>
      </c>
      <c r="Z14" s="32">
        <v>0</v>
      </c>
      <c r="AA14" s="32">
        <v>0</v>
      </c>
      <c r="AB14" s="32">
        <v>0</v>
      </c>
      <c r="AC14" s="32">
        <v>0</v>
      </c>
      <c r="AD14" s="32">
        <v>0</v>
      </c>
      <c r="AE14" s="32">
        <v>0</v>
      </c>
      <c r="AF14" s="32">
        <v>16059</v>
      </c>
      <c r="AG14" s="32">
        <v>8732</v>
      </c>
      <c r="AH14" s="32">
        <v>9727</v>
      </c>
      <c r="AI14" s="32">
        <v>6718</v>
      </c>
      <c r="AJ14" s="32">
        <v>11339</v>
      </c>
      <c r="AK14" s="32">
        <v>8650</v>
      </c>
      <c r="AL14" s="32">
        <v>13058</v>
      </c>
      <c r="AM14" s="32"/>
      <c r="AN14" s="32"/>
      <c r="AO14" s="32"/>
      <c r="AP14" s="32">
        <f t="shared" si="12"/>
        <v>0</v>
      </c>
      <c r="AQ14" s="32"/>
      <c r="AR14" s="32"/>
      <c r="AS14" s="32"/>
    </row>
    <row r="15" spans="1:45" hidden="1" outlineLevel="1" x14ac:dyDescent="0.2">
      <c r="A15" s="5" t="s">
        <v>214</v>
      </c>
      <c r="B15" s="32">
        <f t="shared" si="0"/>
        <v>0</v>
      </c>
      <c r="C15" s="32">
        <f t="shared" si="1"/>
        <v>0</v>
      </c>
      <c r="D15" s="32">
        <f t="shared" si="2"/>
        <v>0</v>
      </c>
      <c r="E15" s="32">
        <f t="shared" si="3"/>
        <v>0</v>
      </c>
      <c r="F15" s="32">
        <f t="shared" si="4"/>
        <v>0</v>
      </c>
      <c r="G15" s="32">
        <f t="shared" si="5"/>
        <v>0</v>
      </c>
      <c r="H15" s="32">
        <f t="shared" si="6"/>
        <v>0</v>
      </c>
      <c r="I15" s="32">
        <f t="shared" si="7"/>
        <v>0</v>
      </c>
      <c r="J15" s="32">
        <f t="shared" si="8"/>
        <v>1283</v>
      </c>
      <c r="K15" s="32">
        <f t="shared" si="9"/>
        <v>3070</v>
      </c>
      <c r="L15" s="32">
        <f t="shared" si="10"/>
        <v>3981</v>
      </c>
      <c r="M15" s="32">
        <f t="shared" si="11"/>
        <v>0</v>
      </c>
      <c r="N15" s="32">
        <f t="shared" si="11"/>
        <v>0</v>
      </c>
      <c r="O15" s="32"/>
      <c r="Q15" s="32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2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246</v>
      </c>
      <c r="AH15" s="32">
        <v>1037</v>
      </c>
      <c r="AI15" s="32">
        <v>518</v>
      </c>
      <c r="AJ15" s="32">
        <v>2552</v>
      </c>
      <c r="AK15" s="32">
        <v>2439</v>
      </c>
      <c r="AL15" s="32">
        <v>1542</v>
      </c>
      <c r="AM15" s="32"/>
      <c r="AN15" s="32"/>
      <c r="AO15" s="32"/>
      <c r="AP15" s="32">
        <f t="shared" si="12"/>
        <v>0</v>
      </c>
      <c r="AQ15" s="32"/>
      <c r="AR15" s="32"/>
      <c r="AS15" s="32"/>
    </row>
    <row r="16" spans="1:45" hidden="1" outlineLevel="1" x14ac:dyDescent="0.2">
      <c r="A16" s="5" t="s">
        <v>215</v>
      </c>
      <c r="B16" s="32">
        <f t="shared" si="0"/>
        <v>0</v>
      </c>
      <c r="C16" s="32">
        <f t="shared" si="1"/>
        <v>0</v>
      </c>
      <c r="D16" s="32">
        <f t="shared" si="2"/>
        <v>0</v>
      </c>
      <c r="E16" s="32">
        <f t="shared" si="3"/>
        <v>0</v>
      </c>
      <c r="F16" s="32">
        <f t="shared" si="4"/>
        <v>0</v>
      </c>
      <c r="G16" s="32">
        <f t="shared" si="5"/>
        <v>0</v>
      </c>
      <c r="H16" s="32">
        <f t="shared" si="6"/>
        <v>0</v>
      </c>
      <c r="I16" s="32">
        <f t="shared" si="7"/>
        <v>996</v>
      </c>
      <c r="J16" s="32">
        <f t="shared" si="8"/>
        <v>315</v>
      </c>
      <c r="K16" s="32">
        <f t="shared" si="9"/>
        <v>788</v>
      </c>
      <c r="L16" s="32">
        <f t="shared" si="10"/>
        <v>2093</v>
      </c>
      <c r="M16" s="32">
        <f t="shared" si="11"/>
        <v>0</v>
      </c>
      <c r="N16" s="32">
        <f t="shared" si="11"/>
        <v>0</v>
      </c>
      <c r="O16" s="32"/>
      <c r="Q16" s="32">
        <v>0</v>
      </c>
      <c r="R16" s="32">
        <v>0</v>
      </c>
      <c r="S16" s="32">
        <v>0</v>
      </c>
      <c r="T16" s="32">
        <v>0</v>
      </c>
      <c r="U16" s="32">
        <v>0</v>
      </c>
      <c r="V16" s="32">
        <v>0</v>
      </c>
      <c r="W16" s="32">
        <v>0</v>
      </c>
      <c r="X16" s="32">
        <v>0</v>
      </c>
      <c r="Y16" s="32">
        <v>0</v>
      </c>
      <c r="Z16" s="32">
        <v>0</v>
      </c>
      <c r="AA16" s="32">
        <v>0</v>
      </c>
      <c r="AB16" s="32">
        <v>0</v>
      </c>
      <c r="AC16" s="32">
        <v>0</v>
      </c>
      <c r="AD16" s="32">
        <v>0</v>
      </c>
      <c r="AE16" s="32">
        <v>0</v>
      </c>
      <c r="AF16" s="32">
        <v>996</v>
      </c>
      <c r="AG16" s="32">
        <v>121</v>
      </c>
      <c r="AH16" s="32">
        <v>194</v>
      </c>
      <c r="AI16" s="32">
        <v>282</v>
      </c>
      <c r="AJ16" s="32">
        <v>506</v>
      </c>
      <c r="AK16" s="32">
        <v>2709</v>
      </c>
      <c r="AL16" s="32">
        <v>-616</v>
      </c>
      <c r="AM16" s="32"/>
      <c r="AN16" s="32"/>
      <c r="AO16" s="32"/>
      <c r="AP16" s="32">
        <f t="shared" si="12"/>
        <v>0</v>
      </c>
      <c r="AQ16" s="32"/>
      <c r="AR16" s="32"/>
      <c r="AS16" s="32"/>
    </row>
    <row r="17" spans="1:45" collapsed="1" x14ac:dyDescent="0.2">
      <c r="A17" s="35" t="s">
        <v>46</v>
      </c>
      <c r="B17" s="76">
        <f t="shared" si="0"/>
        <v>10853</v>
      </c>
      <c r="C17" s="76">
        <f t="shared" si="1"/>
        <v>9400</v>
      </c>
      <c r="D17" s="76">
        <f t="shared" si="2"/>
        <v>12368</v>
      </c>
      <c r="E17" s="76">
        <f t="shared" si="3"/>
        <v>15796</v>
      </c>
      <c r="F17" s="76">
        <f t="shared" si="4"/>
        <v>12999</v>
      </c>
      <c r="G17" s="76">
        <f t="shared" si="5"/>
        <v>12209</v>
      </c>
      <c r="H17" s="76">
        <f t="shared" si="6"/>
        <v>18001</v>
      </c>
      <c r="I17" s="76">
        <f t="shared" si="7"/>
        <v>17055</v>
      </c>
      <c r="J17" s="76">
        <f t="shared" si="8"/>
        <v>20057</v>
      </c>
      <c r="K17" s="76">
        <f t="shared" si="9"/>
        <v>21915</v>
      </c>
      <c r="L17" s="76">
        <f t="shared" si="10"/>
        <v>27782</v>
      </c>
      <c r="M17" s="76">
        <f t="shared" si="11"/>
        <v>28203</v>
      </c>
      <c r="N17" s="76">
        <v>29971</v>
      </c>
      <c r="O17" s="76">
        <f>41378</f>
        <v>41378</v>
      </c>
      <c r="P17" s="30"/>
      <c r="Q17" s="76">
        <v>4659</v>
      </c>
      <c r="R17" s="76">
        <v>6194</v>
      </c>
      <c r="S17" s="76">
        <v>4360</v>
      </c>
      <c r="T17" s="76">
        <v>5040</v>
      </c>
      <c r="U17" s="76">
        <v>5571</v>
      </c>
      <c r="V17" s="76">
        <v>6797</v>
      </c>
      <c r="W17" s="76">
        <v>3780</v>
      </c>
      <c r="X17" s="76">
        <v>12016</v>
      </c>
      <c r="Y17" s="76">
        <v>5564</v>
      </c>
      <c r="Z17" s="76">
        <v>7435</v>
      </c>
      <c r="AA17" s="76">
        <v>4057</v>
      </c>
      <c r="AB17" s="76">
        <v>8152</v>
      </c>
      <c r="AC17" s="76">
        <v>6108</v>
      </c>
      <c r="AD17" s="76">
        <v>11893</v>
      </c>
      <c r="AE17" s="76">
        <v>5573</v>
      </c>
      <c r="AF17" s="76">
        <v>11482</v>
      </c>
      <c r="AG17" s="76">
        <v>9099</v>
      </c>
      <c r="AH17" s="76">
        <v>10958</v>
      </c>
      <c r="AI17" s="76">
        <v>7518</v>
      </c>
      <c r="AJ17" s="76">
        <v>14397</v>
      </c>
      <c r="AK17" s="77">
        <v>13798</v>
      </c>
      <c r="AL17" s="77">
        <v>13984</v>
      </c>
      <c r="AM17" s="77">
        <v>9758</v>
      </c>
      <c r="AN17" s="77">
        <v>18445</v>
      </c>
      <c r="AO17" s="77">
        <f>AO9+AO13</f>
        <v>11246</v>
      </c>
      <c r="AP17" s="77">
        <f t="shared" si="12"/>
        <v>18725</v>
      </c>
      <c r="AQ17" s="77">
        <f>AQ9+AQ13</f>
        <v>19568</v>
      </c>
      <c r="AR17" s="77">
        <f t="shared" ref="AR17" si="14">O17-AQ17</f>
        <v>21810</v>
      </c>
      <c r="AS17" s="77">
        <f>AS9+AS13</f>
        <v>20887</v>
      </c>
    </row>
    <row r="18" spans="1:45" ht="15" x14ac:dyDescent="0.25">
      <c r="A18" s="36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L18" s="32"/>
      <c r="AM18" s="32"/>
      <c r="AN18" s="32"/>
      <c r="AO18" s="32"/>
      <c r="AP18" s="32"/>
      <c r="AQ18" s="32"/>
      <c r="AR18" s="32"/>
      <c r="AS18" s="32"/>
    </row>
    <row r="19" spans="1:45" x14ac:dyDescent="0.2">
      <c r="A19" s="5" t="s">
        <v>146</v>
      </c>
      <c r="B19" s="32">
        <f t="shared" si="0"/>
        <v>-2328</v>
      </c>
      <c r="C19" s="32">
        <f t="shared" si="1"/>
        <v>-2324</v>
      </c>
      <c r="D19" s="32">
        <f t="shared" si="2"/>
        <v>-3157</v>
      </c>
      <c r="E19" s="32">
        <f t="shared" si="3"/>
        <v>-4178</v>
      </c>
      <c r="F19" s="32">
        <f t="shared" si="4"/>
        <v>-4348</v>
      </c>
      <c r="G19" s="32">
        <f t="shared" si="5"/>
        <v>-4454</v>
      </c>
      <c r="H19" s="32">
        <f t="shared" si="6"/>
        <v>-5052</v>
      </c>
      <c r="I19" s="32">
        <f t="shared" si="7"/>
        <v>-6922</v>
      </c>
      <c r="J19" s="32">
        <f t="shared" si="8"/>
        <v>-7280</v>
      </c>
      <c r="K19" s="32">
        <f t="shared" si="9"/>
        <v>-5235</v>
      </c>
      <c r="L19" s="32">
        <f t="shared" si="10"/>
        <v>-5784</v>
      </c>
      <c r="M19" s="32">
        <f t="shared" si="11"/>
        <v>-7259</v>
      </c>
      <c r="N19" s="32">
        <v>-7475</v>
      </c>
      <c r="O19" s="32">
        <f>-8455</f>
        <v>-8455</v>
      </c>
      <c r="Q19" s="32">
        <v>-1020</v>
      </c>
      <c r="R19" s="32">
        <v>-1308</v>
      </c>
      <c r="S19" s="32">
        <v>-1195</v>
      </c>
      <c r="T19" s="32">
        <v>-1129</v>
      </c>
      <c r="U19" s="32">
        <v>-1387</v>
      </c>
      <c r="V19" s="32">
        <v>-1770</v>
      </c>
      <c r="W19" s="32">
        <v>-1957</v>
      </c>
      <c r="X19" s="32">
        <v>-2221</v>
      </c>
      <c r="Y19" s="32">
        <v>-2021</v>
      </c>
      <c r="Z19" s="32">
        <v>-2327</v>
      </c>
      <c r="AA19" s="32">
        <v>-1958</v>
      </c>
      <c r="AB19" s="32">
        <v>-2496</v>
      </c>
      <c r="AC19" s="32">
        <v>-1990</v>
      </c>
      <c r="AD19" s="32">
        <v>-3062</v>
      </c>
      <c r="AE19" s="32">
        <v>-3456</v>
      </c>
      <c r="AF19" s="32">
        <v>-3466</v>
      </c>
      <c r="AG19" s="32">
        <v>-3081</v>
      </c>
      <c r="AH19" s="32">
        <v>-4199</v>
      </c>
      <c r="AI19" s="32">
        <v>-2319</v>
      </c>
      <c r="AJ19" s="32">
        <v>-2916</v>
      </c>
      <c r="AK19" s="32">
        <v>-2453</v>
      </c>
      <c r="AL19" s="32">
        <v>-3331</v>
      </c>
      <c r="AM19" s="32">
        <v>-2558</v>
      </c>
      <c r="AN19" s="32">
        <v>-4701</v>
      </c>
      <c r="AO19" s="32">
        <v>-3243</v>
      </c>
      <c r="AP19" s="32">
        <f t="shared" si="12"/>
        <v>-4232</v>
      </c>
      <c r="AQ19" s="32">
        <f>-3702</f>
        <v>-3702</v>
      </c>
      <c r="AR19" s="32">
        <f t="shared" ref="AR19:AR34" si="15">O19-AQ19</f>
        <v>-4753</v>
      </c>
      <c r="AS19" s="32">
        <f>-3498</f>
        <v>-3498</v>
      </c>
    </row>
    <row r="20" spans="1:45" x14ac:dyDescent="0.2">
      <c r="A20" s="5" t="s">
        <v>147</v>
      </c>
      <c r="B20" s="32">
        <f t="shared" si="0"/>
        <v>-854</v>
      </c>
      <c r="C20" s="32">
        <f t="shared" si="1"/>
        <v>-958</v>
      </c>
      <c r="D20" s="32">
        <f t="shared" si="2"/>
        <v>-1023</v>
      </c>
      <c r="E20" s="32">
        <f t="shared" si="3"/>
        <v>-1474</v>
      </c>
      <c r="F20" s="32">
        <f t="shared" si="4"/>
        <v>-1411</v>
      </c>
      <c r="G20" s="32">
        <f t="shared" si="5"/>
        <v>-1984</v>
      </c>
      <c r="H20" s="32">
        <f t="shared" si="6"/>
        <v>-2930</v>
      </c>
      <c r="I20" s="32">
        <f t="shared" si="7"/>
        <v>-3318</v>
      </c>
      <c r="J20" s="32">
        <f t="shared" si="8"/>
        <v>-4822</v>
      </c>
      <c r="K20" s="32">
        <f t="shared" si="9"/>
        <v>-4560</v>
      </c>
      <c r="L20" s="32">
        <f t="shared" si="10"/>
        <v>-4639</v>
      </c>
      <c r="M20" s="32">
        <f t="shared" si="11"/>
        <v>-5001</v>
      </c>
      <c r="N20" s="32">
        <v>-5158</v>
      </c>
      <c r="O20" s="32">
        <f>-6188</f>
        <v>-6188</v>
      </c>
      <c r="Q20" s="32">
        <v>-336</v>
      </c>
      <c r="R20" s="32">
        <v>-518</v>
      </c>
      <c r="S20" s="32">
        <v>-389</v>
      </c>
      <c r="T20" s="32">
        <v>-569</v>
      </c>
      <c r="U20" s="32">
        <v>-460</v>
      </c>
      <c r="V20" s="32">
        <v>-563</v>
      </c>
      <c r="W20" s="32">
        <v>-577</v>
      </c>
      <c r="X20" s="32">
        <v>-897</v>
      </c>
      <c r="Y20" s="32">
        <v>-619</v>
      </c>
      <c r="Z20" s="32">
        <v>-792</v>
      </c>
      <c r="AA20" s="32">
        <v>-918</v>
      </c>
      <c r="AB20" s="32">
        <v>-1066</v>
      </c>
      <c r="AC20" s="32">
        <v>-1168</v>
      </c>
      <c r="AD20" s="32">
        <v>-1762</v>
      </c>
      <c r="AE20" s="32">
        <v>-1740</v>
      </c>
      <c r="AF20" s="32">
        <v>-1578</v>
      </c>
      <c r="AG20" s="32">
        <v>-2356</v>
      </c>
      <c r="AH20" s="32">
        <v>-2466</v>
      </c>
      <c r="AI20" s="32">
        <v>-2038</v>
      </c>
      <c r="AJ20" s="32">
        <v>-2522</v>
      </c>
      <c r="AK20" s="32">
        <v>-1964</v>
      </c>
      <c r="AL20" s="32">
        <v>-2675</v>
      </c>
      <c r="AM20" s="32">
        <v>-1980</v>
      </c>
      <c r="AN20" s="32">
        <v>-3021</v>
      </c>
      <c r="AO20" s="32">
        <v>-2364</v>
      </c>
      <c r="AP20" s="32">
        <f t="shared" si="12"/>
        <v>-2794</v>
      </c>
      <c r="AQ20" s="32">
        <f>-2965</f>
        <v>-2965</v>
      </c>
      <c r="AR20" s="32">
        <f t="shared" si="15"/>
        <v>-3223</v>
      </c>
      <c r="AS20" s="32">
        <f>-3784</f>
        <v>-3784</v>
      </c>
    </row>
    <row r="21" spans="1:45" x14ac:dyDescent="0.2">
      <c r="A21" s="5" t="s">
        <v>471</v>
      </c>
      <c r="B21" s="32">
        <f t="shared" si="0"/>
        <v>0</v>
      </c>
      <c r="C21" s="32">
        <f t="shared" si="1"/>
        <v>0</v>
      </c>
      <c r="D21" s="32">
        <f t="shared" si="2"/>
        <v>0</v>
      </c>
      <c r="E21" s="32">
        <f t="shared" si="3"/>
        <v>0</v>
      </c>
      <c r="F21" s="32">
        <f t="shared" si="4"/>
        <v>0</v>
      </c>
      <c r="G21" s="32">
        <f t="shared" si="5"/>
        <v>0</v>
      </c>
      <c r="H21" s="32">
        <f t="shared" si="6"/>
        <v>-673</v>
      </c>
      <c r="I21" s="32">
        <f t="shared" si="7"/>
        <v>-800</v>
      </c>
      <c r="J21" s="32">
        <f t="shared" si="8"/>
        <v>-476</v>
      </c>
      <c r="K21" s="32">
        <f t="shared" si="9"/>
        <v>-329</v>
      </c>
      <c r="L21" s="32">
        <f t="shared" si="10"/>
        <v>-169</v>
      </c>
      <c r="M21" s="32">
        <f t="shared" si="11"/>
        <v>-912</v>
      </c>
      <c r="N21" s="32">
        <v>-829</v>
      </c>
      <c r="O21" s="32">
        <f>-547</f>
        <v>-547</v>
      </c>
      <c r="Q21" s="32">
        <v>0</v>
      </c>
      <c r="R21" s="32">
        <v>0</v>
      </c>
      <c r="S21" s="32">
        <v>0</v>
      </c>
      <c r="T21" s="32">
        <v>0</v>
      </c>
      <c r="U21" s="32">
        <v>0</v>
      </c>
      <c r="V21" s="32">
        <v>0</v>
      </c>
      <c r="W21" s="32">
        <v>0</v>
      </c>
      <c r="X21" s="32">
        <v>0</v>
      </c>
      <c r="Y21" s="32">
        <v>0</v>
      </c>
      <c r="Z21" s="32">
        <v>0</v>
      </c>
      <c r="AA21" s="32">
        <v>0</v>
      </c>
      <c r="AB21" s="32">
        <v>0</v>
      </c>
      <c r="AC21" s="32">
        <v>-244</v>
      </c>
      <c r="AD21" s="32">
        <v>-429</v>
      </c>
      <c r="AE21" s="32">
        <v>-212</v>
      </c>
      <c r="AF21" s="32">
        <v>-588</v>
      </c>
      <c r="AG21" s="32">
        <v>-142</v>
      </c>
      <c r="AH21" s="32">
        <v>-334</v>
      </c>
      <c r="AI21" s="32">
        <v>-80</v>
      </c>
      <c r="AJ21" s="32">
        <v>-249</v>
      </c>
      <c r="AK21" s="32">
        <v>-167</v>
      </c>
      <c r="AL21" s="32">
        <v>-2</v>
      </c>
      <c r="AM21" s="32">
        <v>-132</v>
      </c>
      <c r="AN21" s="32">
        <v>-780</v>
      </c>
      <c r="AO21" s="32">
        <v>-633</v>
      </c>
      <c r="AP21" s="32">
        <f t="shared" si="12"/>
        <v>-196</v>
      </c>
      <c r="AQ21" s="32">
        <f>-244</f>
        <v>-244</v>
      </c>
      <c r="AR21" s="32">
        <f t="shared" si="15"/>
        <v>-303</v>
      </c>
      <c r="AS21" s="32">
        <f>-153</f>
        <v>-153</v>
      </c>
    </row>
    <row r="22" spans="1:45" x14ac:dyDescent="0.2">
      <c r="A22" s="5" t="s">
        <v>148</v>
      </c>
      <c r="B22" s="32">
        <f t="shared" si="0"/>
        <v>0</v>
      </c>
      <c r="C22" s="32">
        <f t="shared" si="1"/>
        <v>0</v>
      </c>
      <c r="D22" s="32">
        <f t="shared" si="2"/>
        <v>0</v>
      </c>
      <c r="E22" s="32">
        <f t="shared" si="3"/>
        <v>0</v>
      </c>
      <c r="F22" s="32">
        <f t="shared" si="4"/>
        <v>0</v>
      </c>
      <c r="G22" s="32">
        <f t="shared" si="5"/>
        <v>0</v>
      </c>
      <c r="H22" s="32">
        <f t="shared" si="6"/>
        <v>0</v>
      </c>
      <c r="I22" s="32">
        <f t="shared" si="7"/>
        <v>0</v>
      </c>
      <c r="J22" s="32">
        <f t="shared" si="8"/>
        <v>729</v>
      </c>
      <c r="K22" s="32">
        <f t="shared" si="9"/>
        <v>0</v>
      </c>
      <c r="L22" s="32">
        <f t="shared" si="10"/>
        <v>0</v>
      </c>
      <c r="M22" s="32">
        <f t="shared" si="11"/>
        <v>12038</v>
      </c>
      <c r="N22" s="32">
        <f t="shared" si="11"/>
        <v>0</v>
      </c>
      <c r="O22" s="32">
        <f>0</f>
        <v>0</v>
      </c>
      <c r="Q22" s="32">
        <v>0</v>
      </c>
      <c r="R22" s="32">
        <v>0</v>
      </c>
      <c r="S22" s="32">
        <v>0</v>
      </c>
      <c r="T22" s="32">
        <v>0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>
        <v>0</v>
      </c>
      <c r="AB22" s="32">
        <v>0</v>
      </c>
      <c r="AC22" s="32">
        <v>0</v>
      </c>
      <c r="AD22" s="32">
        <v>0</v>
      </c>
      <c r="AE22" s="32">
        <v>0</v>
      </c>
      <c r="AF22" s="32">
        <v>0</v>
      </c>
      <c r="AG22" s="32">
        <v>729</v>
      </c>
      <c r="AH22" s="32">
        <v>0</v>
      </c>
      <c r="AI22" s="32">
        <v>0</v>
      </c>
      <c r="AJ22" s="32">
        <v>0</v>
      </c>
      <c r="AK22" s="32">
        <v>0</v>
      </c>
      <c r="AL22" s="32">
        <v>0</v>
      </c>
      <c r="AM22" s="32">
        <v>12038</v>
      </c>
      <c r="AN22" s="32">
        <v>0</v>
      </c>
      <c r="AO22" s="32">
        <v>0</v>
      </c>
      <c r="AP22" s="32">
        <f t="shared" si="12"/>
        <v>0</v>
      </c>
      <c r="AQ22" s="32">
        <f>0</f>
        <v>0</v>
      </c>
      <c r="AR22" s="32">
        <f t="shared" si="15"/>
        <v>0</v>
      </c>
      <c r="AS22" s="32">
        <f>0</f>
        <v>0</v>
      </c>
    </row>
    <row r="23" spans="1:45" x14ac:dyDescent="0.2">
      <c r="A23" s="5" t="s">
        <v>472</v>
      </c>
      <c r="B23" s="32">
        <f t="shared" si="0"/>
        <v>-27</v>
      </c>
      <c r="C23" s="32">
        <f t="shared" si="1"/>
        <v>-209</v>
      </c>
      <c r="D23" s="32">
        <f t="shared" si="2"/>
        <v>-40</v>
      </c>
      <c r="E23" s="32">
        <f t="shared" si="3"/>
        <v>-913</v>
      </c>
      <c r="F23" s="32">
        <f t="shared" si="4"/>
        <v>-991</v>
      </c>
      <c r="G23" s="32">
        <f t="shared" si="5"/>
        <v>-753</v>
      </c>
      <c r="H23" s="32">
        <f t="shared" si="6"/>
        <v>366</v>
      </c>
      <c r="I23" s="32">
        <f t="shared" si="7"/>
        <v>-2811</v>
      </c>
      <c r="J23" s="32">
        <f t="shared" si="8"/>
        <v>-1724</v>
      </c>
      <c r="K23" s="32">
        <f t="shared" si="9"/>
        <v>-1573</v>
      </c>
      <c r="L23" s="32">
        <f t="shared" si="10"/>
        <v>-3944</v>
      </c>
      <c r="M23" s="32">
        <f t="shared" si="11"/>
        <v>-2014</v>
      </c>
      <c r="N23" s="32">
        <f>-5064+496</f>
        <v>-4568</v>
      </c>
      <c r="O23" s="32">
        <f>1510-3977</f>
        <v>-2467</v>
      </c>
      <c r="Q23" s="32">
        <v>37</v>
      </c>
      <c r="R23" s="32">
        <v>-64</v>
      </c>
      <c r="S23" s="32">
        <v>-27</v>
      </c>
      <c r="T23" s="32">
        <v>-182</v>
      </c>
      <c r="U23" s="32">
        <v>-96</v>
      </c>
      <c r="V23" s="32">
        <v>56</v>
      </c>
      <c r="W23" s="32">
        <v>-166</v>
      </c>
      <c r="X23" s="32">
        <v>-747</v>
      </c>
      <c r="Y23" s="32">
        <v>-341</v>
      </c>
      <c r="Z23" s="32">
        <v>-650</v>
      </c>
      <c r="AA23" s="32">
        <v>-495</v>
      </c>
      <c r="AB23" s="32">
        <v>-258</v>
      </c>
      <c r="AC23" s="32">
        <v>-176</v>
      </c>
      <c r="AD23" s="32">
        <v>542</v>
      </c>
      <c r="AE23" s="32">
        <v>-1427</v>
      </c>
      <c r="AF23" s="32">
        <v>-1384</v>
      </c>
      <c r="AG23" s="32">
        <v>-720</v>
      </c>
      <c r="AH23" s="32">
        <v>-1004</v>
      </c>
      <c r="AI23" s="32">
        <v>-879</v>
      </c>
      <c r="AJ23" s="32">
        <v>-694</v>
      </c>
      <c r="AK23" s="32">
        <v>-2753</v>
      </c>
      <c r="AL23" s="32">
        <v>-1191</v>
      </c>
      <c r="AM23" s="32">
        <v>268</v>
      </c>
      <c r="AN23" s="32">
        <v>-2282</v>
      </c>
      <c r="AO23" s="32">
        <f>281-1294</f>
        <v>-1013</v>
      </c>
      <c r="AP23" s="32">
        <f t="shared" si="12"/>
        <v>-3555</v>
      </c>
      <c r="AQ23" s="32">
        <f>260-2387</f>
        <v>-2127</v>
      </c>
      <c r="AR23" s="32">
        <f t="shared" si="15"/>
        <v>-340</v>
      </c>
      <c r="AS23" s="32">
        <f>3009-1244</f>
        <v>1765</v>
      </c>
    </row>
    <row r="24" spans="1:45" x14ac:dyDescent="0.2">
      <c r="A24" s="35" t="s">
        <v>149</v>
      </c>
      <c r="B24" s="76">
        <f t="shared" si="0"/>
        <v>7644</v>
      </c>
      <c r="C24" s="76">
        <f t="shared" si="1"/>
        <v>5909</v>
      </c>
      <c r="D24" s="76">
        <f t="shared" si="2"/>
        <v>8148</v>
      </c>
      <c r="E24" s="76">
        <f t="shared" si="3"/>
        <v>9231</v>
      </c>
      <c r="F24" s="76">
        <f t="shared" si="4"/>
        <v>6249</v>
      </c>
      <c r="G24" s="76">
        <f t="shared" si="5"/>
        <v>5018</v>
      </c>
      <c r="H24" s="76">
        <f t="shared" si="6"/>
        <v>9712</v>
      </c>
      <c r="I24" s="76">
        <f t="shared" si="7"/>
        <v>3204</v>
      </c>
      <c r="J24" s="76">
        <f t="shared" si="8"/>
        <v>6484</v>
      </c>
      <c r="K24" s="76">
        <f t="shared" si="9"/>
        <v>10218</v>
      </c>
      <c r="L24" s="76">
        <f t="shared" si="10"/>
        <v>13246</v>
      </c>
      <c r="M24" s="76">
        <f t="shared" si="11"/>
        <v>25055</v>
      </c>
      <c r="N24" s="76">
        <f>SUM(N17:N23)</f>
        <v>11941</v>
      </c>
      <c r="O24" s="76">
        <f>23721</f>
        <v>23721</v>
      </c>
      <c r="P24" s="30"/>
      <c r="Q24" s="76">
        <v>3340</v>
      </c>
      <c r="R24" s="76">
        <v>4304</v>
      </c>
      <c r="S24" s="76">
        <v>2749</v>
      </c>
      <c r="T24" s="76">
        <v>3160</v>
      </c>
      <c r="U24" s="76">
        <v>3628</v>
      </c>
      <c r="V24" s="76">
        <v>4520</v>
      </c>
      <c r="W24" s="76">
        <v>1080</v>
      </c>
      <c r="X24" s="76">
        <v>8151</v>
      </c>
      <c r="Y24" s="76">
        <v>2583</v>
      </c>
      <c r="Z24" s="76">
        <v>3666</v>
      </c>
      <c r="AA24" s="76">
        <v>686</v>
      </c>
      <c r="AB24" s="76">
        <v>4332</v>
      </c>
      <c r="AC24" s="76">
        <v>2530</v>
      </c>
      <c r="AD24" s="76">
        <v>7182</v>
      </c>
      <c r="AE24" s="76">
        <v>-1262</v>
      </c>
      <c r="AF24" s="76">
        <v>4466</v>
      </c>
      <c r="AG24" s="76">
        <v>3529</v>
      </c>
      <c r="AH24" s="76">
        <v>2955</v>
      </c>
      <c r="AI24" s="76">
        <v>2202</v>
      </c>
      <c r="AJ24" s="76">
        <v>8016</v>
      </c>
      <c r="AK24" s="77">
        <v>6461</v>
      </c>
      <c r="AL24" s="78">
        <v>6785</v>
      </c>
      <c r="AM24" s="78">
        <f>SUM(AM17:AM23)</f>
        <v>17394</v>
      </c>
      <c r="AN24" s="78">
        <v>7661</v>
      </c>
      <c r="AO24" s="78">
        <f>SUM(AO17:AO23)</f>
        <v>3993</v>
      </c>
      <c r="AP24" s="78">
        <f t="shared" si="12"/>
        <v>7948</v>
      </c>
      <c r="AQ24" s="78">
        <f>SUM(AQ17:AQ23)</f>
        <v>10530</v>
      </c>
      <c r="AR24" s="78">
        <f t="shared" si="15"/>
        <v>13191</v>
      </c>
      <c r="AS24" s="78">
        <f>SUM(AS17:AS23)</f>
        <v>15217</v>
      </c>
    </row>
    <row r="25" spans="1:45" x14ac:dyDescent="0.2">
      <c r="A25" s="5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L25" s="32"/>
      <c r="AM25" s="32"/>
      <c r="AN25" s="32"/>
      <c r="AO25" s="32"/>
      <c r="AP25" s="32"/>
      <c r="AQ25" s="32"/>
      <c r="AR25" s="32"/>
      <c r="AS25" s="32"/>
    </row>
    <row r="26" spans="1:45" x14ac:dyDescent="0.2">
      <c r="A26" s="5" t="s">
        <v>150</v>
      </c>
      <c r="B26" s="32">
        <f t="shared" si="0"/>
        <v>267</v>
      </c>
      <c r="C26" s="32">
        <f t="shared" si="1"/>
        <v>676</v>
      </c>
      <c r="D26" s="32">
        <f t="shared" si="2"/>
        <v>679</v>
      </c>
      <c r="E26" s="32">
        <f t="shared" si="3"/>
        <v>895</v>
      </c>
      <c r="F26" s="32">
        <f t="shared" si="4"/>
        <v>1667</v>
      </c>
      <c r="G26" s="32">
        <f t="shared" si="5"/>
        <v>1791</v>
      </c>
      <c r="H26" s="32">
        <f t="shared" si="6"/>
        <v>1696</v>
      </c>
      <c r="I26" s="32">
        <f t="shared" si="7"/>
        <v>2101</v>
      </c>
      <c r="J26" s="32">
        <f t="shared" si="8"/>
        <v>2872</v>
      </c>
      <c r="K26" s="32">
        <f t="shared" si="9"/>
        <v>1887</v>
      </c>
      <c r="L26" s="32">
        <f t="shared" si="10"/>
        <v>2392</v>
      </c>
      <c r="M26" s="32">
        <f t="shared" si="11"/>
        <v>3914</v>
      </c>
      <c r="N26" s="32">
        <v>2217</v>
      </c>
      <c r="O26" s="32">
        <f>1978</f>
        <v>1978</v>
      </c>
      <c r="Q26" s="32">
        <v>111</v>
      </c>
      <c r="R26" s="32">
        <v>156</v>
      </c>
      <c r="S26" s="32">
        <v>334</v>
      </c>
      <c r="T26" s="32">
        <v>342</v>
      </c>
      <c r="U26" s="32">
        <v>386</v>
      </c>
      <c r="V26" s="32">
        <v>293</v>
      </c>
      <c r="W26" s="32">
        <v>389</v>
      </c>
      <c r="X26" s="32">
        <v>506</v>
      </c>
      <c r="Y26" s="32">
        <v>992</v>
      </c>
      <c r="Z26" s="32">
        <v>675</v>
      </c>
      <c r="AA26" s="32">
        <v>849</v>
      </c>
      <c r="AB26" s="32">
        <v>942</v>
      </c>
      <c r="AC26" s="32">
        <v>767</v>
      </c>
      <c r="AD26" s="32">
        <v>929</v>
      </c>
      <c r="AE26" s="32">
        <v>895</v>
      </c>
      <c r="AF26" s="32">
        <v>1206</v>
      </c>
      <c r="AG26" s="32">
        <v>1517</v>
      </c>
      <c r="AH26" s="32">
        <v>1355</v>
      </c>
      <c r="AI26" s="32">
        <v>1125</v>
      </c>
      <c r="AJ26" s="32">
        <v>762</v>
      </c>
      <c r="AK26" s="32">
        <v>644</v>
      </c>
      <c r="AL26" s="32">
        <v>1748</v>
      </c>
      <c r="AM26" s="32">
        <v>2525</v>
      </c>
      <c r="AN26" s="32">
        <v>1389</v>
      </c>
      <c r="AO26" s="32">
        <v>975</v>
      </c>
      <c r="AP26" s="32">
        <f t="shared" si="12"/>
        <v>1242</v>
      </c>
      <c r="AQ26" s="32">
        <f>924</f>
        <v>924</v>
      </c>
      <c r="AR26" s="32">
        <f t="shared" si="15"/>
        <v>1054</v>
      </c>
      <c r="AS26" s="32">
        <f>1392</f>
        <v>1392</v>
      </c>
    </row>
    <row r="27" spans="1:45" x14ac:dyDescent="0.2">
      <c r="A27" s="5" t="s">
        <v>151</v>
      </c>
      <c r="B27" s="32">
        <f t="shared" si="0"/>
        <v>1174</v>
      </c>
      <c r="C27" s="32">
        <f t="shared" si="1"/>
        <v>73</v>
      </c>
      <c r="D27" s="32">
        <f t="shared" si="2"/>
        <v>12</v>
      </c>
      <c r="E27" s="32">
        <f t="shared" si="3"/>
        <v>822</v>
      </c>
      <c r="F27" s="32">
        <f t="shared" si="4"/>
        <v>19</v>
      </c>
      <c r="G27" s="32">
        <f t="shared" si="5"/>
        <v>66</v>
      </c>
      <c r="H27" s="32">
        <f t="shared" si="6"/>
        <v>16</v>
      </c>
      <c r="I27" s="32">
        <f t="shared" si="7"/>
        <v>183</v>
      </c>
      <c r="J27" s="32">
        <f t="shared" si="8"/>
        <v>119</v>
      </c>
      <c r="K27" s="32">
        <f t="shared" si="9"/>
        <v>129</v>
      </c>
      <c r="L27" s="32">
        <f t="shared" si="10"/>
        <v>136</v>
      </c>
      <c r="M27" s="32">
        <f t="shared" si="11"/>
        <v>75</v>
      </c>
      <c r="N27" s="32">
        <v>598</v>
      </c>
      <c r="O27" s="32">
        <f>5610</f>
        <v>5610</v>
      </c>
      <c r="Q27" s="32">
        <v>124</v>
      </c>
      <c r="R27" s="32">
        <v>1050</v>
      </c>
      <c r="S27" s="32">
        <v>33</v>
      </c>
      <c r="T27" s="32">
        <v>40</v>
      </c>
      <c r="U27" s="32">
        <v>48</v>
      </c>
      <c r="V27" s="32">
        <v>-36</v>
      </c>
      <c r="W27" s="32">
        <v>2</v>
      </c>
      <c r="X27" s="32">
        <v>820</v>
      </c>
      <c r="Y27" s="32">
        <v>6</v>
      </c>
      <c r="Z27" s="32">
        <v>13</v>
      </c>
      <c r="AA27" s="32">
        <v>42</v>
      </c>
      <c r="AB27" s="32">
        <v>24</v>
      </c>
      <c r="AC27" s="32">
        <v>2</v>
      </c>
      <c r="AD27" s="32">
        <v>14</v>
      </c>
      <c r="AE27" s="32">
        <v>209</v>
      </c>
      <c r="AF27" s="32">
        <v>-26</v>
      </c>
      <c r="AG27" s="32">
        <v>37</v>
      </c>
      <c r="AH27" s="32">
        <v>82</v>
      </c>
      <c r="AI27" s="32">
        <v>150</v>
      </c>
      <c r="AJ27" s="32">
        <v>-21</v>
      </c>
      <c r="AK27" s="32">
        <v>65</v>
      </c>
      <c r="AL27" s="32">
        <v>71</v>
      </c>
      <c r="AM27" s="32">
        <v>68</v>
      </c>
      <c r="AN27" s="32">
        <v>7</v>
      </c>
      <c r="AO27" s="32">
        <v>337</v>
      </c>
      <c r="AP27" s="32">
        <f t="shared" si="12"/>
        <v>261</v>
      </c>
      <c r="AQ27" s="32">
        <f>2122</f>
        <v>2122</v>
      </c>
      <c r="AR27" s="32">
        <f t="shared" si="15"/>
        <v>3488</v>
      </c>
      <c r="AS27" s="32">
        <f>0</f>
        <v>0</v>
      </c>
    </row>
    <row r="28" spans="1:45" x14ac:dyDescent="0.2">
      <c r="A28" s="5" t="s">
        <v>152</v>
      </c>
      <c r="B28" s="32">
        <f t="shared" si="0"/>
        <v>-60</v>
      </c>
      <c r="C28" s="32">
        <f t="shared" si="1"/>
        <v>-132</v>
      </c>
      <c r="D28" s="32">
        <f t="shared" si="2"/>
        <v>-342</v>
      </c>
      <c r="E28" s="32">
        <f t="shared" si="3"/>
        <v>-553</v>
      </c>
      <c r="F28" s="32">
        <f t="shared" si="4"/>
        <v>-504</v>
      </c>
      <c r="G28" s="32">
        <f t="shared" si="5"/>
        <v>-319</v>
      </c>
      <c r="H28" s="32">
        <f t="shared" si="6"/>
        <v>-1007</v>
      </c>
      <c r="I28" s="32">
        <f t="shared" si="7"/>
        <v>-5065</v>
      </c>
      <c r="J28" s="32">
        <f t="shared" si="8"/>
        <v>-7704</v>
      </c>
      <c r="K28" s="32">
        <f t="shared" si="9"/>
        <v>-7512</v>
      </c>
      <c r="L28" s="32">
        <f t="shared" si="10"/>
        <v>-9909</v>
      </c>
      <c r="M28" s="32">
        <f t="shared" si="11"/>
        <v>-13120</v>
      </c>
      <c r="N28" s="32">
        <v>-15776</v>
      </c>
      <c r="O28" s="32">
        <f>-33411</f>
        <v>-33411</v>
      </c>
      <c r="Q28" s="32">
        <v>-20</v>
      </c>
      <c r="R28" s="32">
        <v>-40</v>
      </c>
      <c r="S28" s="32">
        <v>-96</v>
      </c>
      <c r="T28" s="32">
        <v>-36</v>
      </c>
      <c r="U28" s="32">
        <v>-142</v>
      </c>
      <c r="V28" s="32">
        <v>-200</v>
      </c>
      <c r="W28" s="32">
        <v>-242</v>
      </c>
      <c r="X28" s="32">
        <v>-311</v>
      </c>
      <c r="Y28" s="32">
        <v>-593</v>
      </c>
      <c r="Z28" s="32">
        <v>89</v>
      </c>
      <c r="AA28" s="32">
        <v>-152</v>
      </c>
      <c r="AB28" s="32">
        <v>-167</v>
      </c>
      <c r="AC28" s="32">
        <v>-423</v>
      </c>
      <c r="AD28" s="32">
        <v>-584</v>
      </c>
      <c r="AE28" s="32">
        <v>-2192</v>
      </c>
      <c r="AF28" s="32">
        <v>-2873</v>
      </c>
      <c r="AG28" s="32">
        <v>-3667</v>
      </c>
      <c r="AH28" s="32">
        <v>-4037</v>
      </c>
      <c r="AI28" s="32">
        <v>-4166</v>
      </c>
      <c r="AJ28" s="32">
        <v>-3346</v>
      </c>
      <c r="AK28" s="32">
        <v>-4414</v>
      </c>
      <c r="AL28" s="32">
        <v>-5495</v>
      </c>
      <c r="AM28" s="32">
        <v>-6863</v>
      </c>
      <c r="AN28" s="32">
        <v>-6257</v>
      </c>
      <c r="AO28" s="32">
        <v>-6939</v>
      </c>
      <c r="AP28" s="32">
        <f t="shared" si="12"/>
        <v>-8837</v>
      </c>
      <c r="AQ28" s="32">
        <f>-12792</f>
        <v>-12792</v>
      </c>
      <c r="AR28" s="32">
        <f t="shared" si="15"/>
        <v>-20619</v>
      </c>
      <c r="AS28" s="32">
        <f>-26479</f>
        <v>-26479</v>
      </c>
    </row>
    <row r="29" spans="1:45" x14ac:dyDescent="0.2">
      <c r="A29" s="37" t="s">
        <v>153</v>
      </c>
      <c r="B29" s="75">
        <f t="shared" si="0"/>
        <v>1381</v>
      </c>
      <c r="C29" s="75">
        <f t="shared" si="1"/>
        <v>617</v>
      </c>
      <c r="D29" s="75">
        <f t="shared" si="2"/>
        <v>349</v>
      </c>
      <c r="E29" s="75">
        <f t="shared" si="3"/>
        <v>1164</v>
      </c>
      <c r="F29" s="75">
        <f t="shared" si="4"/>
        <v>1182</v>
      </c>
      <c r="G29" s="75">
        <f t="shared" si="5"/>
        <v>1538</v>
      </c>
      <c r="H29" s="75">
        <f t="shared" si="6"/>
        <v>705</v>
      </c>
      <c r="I29" s="75">
        <f t="shared" si="7"/>
        <v>-2781</v>
      </c>
      <c r="J29" s="75">
        <f t="shared" si="8"/>
        <v>-4713</v>
      </c>
      <c r="K29" s="75">
        <f t="shared" si="9"/>
        <v>-5496</v>
      </c>
      <c r="L29" s="32">
        <f t="shared" si="10"/>
        <v>-7381</v>
      </c>
      <c r="M29" s="32">
        <f t="shared" si="11"/>
        <v>-9131</v>
      </c>
      <c r="N29" s="32">
        <f>SUM(N26:N28)</f>
        <v>-12961</v>
      </c>
      <c r="O29" s="32">
        <f>SUM(O26:O28)</f>
        <v>-25823</v>
      </c>
      <c r="P29" s="37"/>
      <c r="Q29" s="75">
        <v>215</v>
      </c>
      <c r="R29" s="75">
        <v>1166</v>
      </c>
      <c r="S29" s="75">
        <v>271</v>
      </c>
      <c r="T29" s="75">
        <v>346</v>
      </c>
      <c r="U29" s="75">
        <v>292</v>
      </c>
      <c r="V29" s="75">
        <v>57</v>
      </c>
      <c r="W29" s="75">
        <v>149</v>
      </c>
      <c r="X29" s="75">
        <v>1015</v>
      </c>
      <c r="Y29" s="75">
        <v>405</v>
      </c>
      <c r="Z29" s="75">
        <v>777</v>
      </c>
      <c r="AA29" s="75">
        <v>739</v>
      </c>
      <c r="AB29" s="75">
        <v>799</v>
      </c>
      <c r="AC29" s="75">
        <v>346</v>
      </c>
      <c r="AD29" s="75">
        <v>359</v>
      </c>
      <c r="AE29" s="75">
        <v>-1088</v>
      </c>
      <c r="AF29" s="75">
        <v>-1693</v>
      </c>
      <c r="AG29" s="75">
        <v>-2113</v>
      </c>
      <c r="AH29" s="75">
        <v>-2600</v>
      </c>
      <c r="AI29" s="75">
        <v>-2891</v>
      </c>
      <c r="AJ29" s="75">
        <v>-2605</v>
      </c>
      <c r="AK29" s="75">
        <v>-3705</v>
      </c>
      <c r="AL29" s="75">
        <v>-3676</v>
      </c>
      <c r="AM29" s="75">
        <f>SUM(AM26:AM28)</f>
        <v>-4270</v>
      </c>
      <c r="AN29" s="32">
        <v>-4861</v>
      </c>
      <c r="AO29" s="75">
        <f>SUM(AO26:AO28)</f>
        <v>-5627</v>
      </c>
      <c r="AP29" s="75">
        <f t="shared" si="12"/>
        <v>-7334</v>
      </c>
      <c r="AQ29" s="75">
        <f>SUM(AQ26:AQ28)</f>
        <v>-9746</v>
      </c>
      <c r="AR29" s="75">
        <f t="shared" si="15"/>
        <v>-16077</v>
      </c>
      <c r="AS29" s="75">
        <f>SUM(AS26:AS28)</f>
        <v>-25087</v>
      </c>
    </row>
    <row r="30" spans="1:45" x14ac:dyDescent="0.2">
      <c r="A30" s="5" t="s">
        <v>154</v>
      </c>
      <c r="B30" s="32">
        <f t="shared" si="0"/>
        <v>0</v>
      </c>
      <c r="C30" s="32">
        <f t="shared" si="1"/>
        <v>0</v>
      </c>
      <c r="D30" s="32">
        <f t="shared" si="2"/>
        <v>0</v>
      </c>
      <c r="E30" s="32">
        <f t="shared" si="3"/>
        <v>0</v>
      </c>
      <c r="F30" s="32">
        <f t="shared" si="4"/>
        <v>0</v>
      </c>
      <c r="G30" s="32">
        <f t="shared" si="5"/>
        <v>0</v>
      </c>
      <c r="H30" s="32">
        <f t="shared" si="6"/>
        <v>0</v>
      </c>
      <c r="I30" s="32">
        <f t="shared" si="7"/>
        <v>0</v>
      </c>
      <c r="J30" s="32">
        <f t="shared" si="8"/>
        <v>0</v>
      </c>
      <c r="K30" s="32">
        <f t="shared" si="9"/>
        <v>0</v>
      </c>
      <c r="L30" s="32">
        <f t="shared" si="10"/>
        <v>-16</v>
      </c>
      <c r="M30" s="32">
        <f t="shared" si="11"/>
        <v>-37</v>
      </c>
      <c r="N30" s="32">
        <v>66</v>
      </c>
      <c r="O30" s="32">
        <f>-4991</f>
        <v>-4991</v>
      </c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L30" s="32">
        <v>-16</v>
      </c>
      <c r="AM30" s="32">
        <v>-38</v>
      </c>
      <c r="AN30" s="32">
        <v>1</v>
      </c>
      <c r="AO30" s="32">
        <v>17</v>
      </c>
      <c r="AP30" s="32">
        <f t="shared" si="12"/>
        <v>49</v>
      </c>
      <c r="AQ30" s="32">
        <f>-1470</f>
        <v>-1470</v>
      </c>
      <c r="AR30" s="32">
        <f t="shared" si="15"/>
        <v>-3521</v>
      </c>
      <c r="AS30" s="32">
        <f>-504</f>
        <v>-504</v>
      </c>
    </row>
    <row r="31" spans="1:45" x14ac:dyDescent="0.2">
      <c r="A31" s="37" t="s">
        <v>155</v>
      </c>
      <c r="B31" s="75">
        <f t="shared" si="0"/>
        <v>9025</v>
      </c>
      <c r="C31" s="75">
        <f t="shared" si="1"/>
        <v>6526</v>
      </c>
      <c r="D31" s="75">
        <f t="shared" si="2"/>
        <v>8497</v>
      </c>
      <c r="E31" s="75">
        <f t="shared" si="3"/>
        <v>10395</v>
      </c>
      <c r="F31" s="75">
        <f t="shared" si="4"/>
        <v>7431</v>
      </c>
      <c r="G31" s="75">
        <f t="shared" si="5"/>
        <v>6556</v>
      </c>
      <c r="H31" s="75">
        <f t="shared" si="6"/>
        <v>10417</v>
      </c>
      <c r="I31" s="75">
        <f t="shared" si="7"/>
        <v>423</v>
      </c>
      <c r="J31" s="75">
        <f t="shared" si="8"/>
        <v>1771</v>
      </c>
      <c r="K31" s="75">
        <f t="shared" si="9"/>
        <v>4722</v>
      </c>
      <c r="L31" s="32">
        <f t="shared" si="10"/>
        <v>5849</v>
      </c>
      <c r="M31" s="32">
        <f t="shared" si="11"/>
        <v>15887</v>
      </c>
      <c r="N31" s="32">
        <v>-954</v>
      </c>
      <c r="O31" s="32">
        <f>-7093</f>
        <v>-7093</v>
      </c>
      <c r="P31" s="37"/>
      <c r="Q31" s="75">
        <v>3555</v>
      </c>
      <c r="R31" s="75">
        <v>5470</v>
      </c>
      <c r="S31" s="75">
        <v>3020</v>
      </c>
      <c r="T31" s="75">
        <v>3506</v>
      </c>
      <c r="U31" s="75">
        <v>3920</v>
      </c>
      <c r="V31" s="75">
        <v>4577</v>
      </c>
      <c r="W31" s="75">
        <v>1229</v>
      </c>
      <c r="X31" s="75">
        <v>9166</v>
      </c>
      <c r="Y31" s="75">
        <v>2988</v>
      </c>
      <c r="Z31" s="75">
        <v>4443</v>
      </c>
      <c r="AA31" s="75">
        <v>1425</v>
      </c>
      <c r="AB31" s="75">
        <v>5131</v>
      </c>
      <c r="AC31" s="75">
        <v>2876</v>
      </c>
      <c r="AD31" s="75">
        <v>7541</v>
      </c>
      <c r="AE31" s="75">
        <v>-2350</v>
      </c>
      <c r="AF31" s="75">
        <v>2773</v>
      </c>
      <c r="AG31" s="75">
        <v>1416</v>
      </c>
      <c r="AH31" s="75">
        <v>355</v>
      </c>
      <c r="AI31" s="75">
        <v>-689</v>
      </c>
      <c r="AJ31" s="75">
        <v>5411</v>
      </c>
      <c r="AK31" s="75">
        <v>2756</v>
      </c>
      <c r="AL31" s="75">
        <v>3093</v>
      </c>
      <c r="AM31" s="75">
        <v>13086</v>
      </c>
      <c r="AN31" s="75">
        <v>2801</v>
      </c>
      <c r="AO31" s="75">
        <f>AO29+AO24+AO30</f>
        <v>-1617</v>
      </c>
      <c r="AP31" s="75">
        <f t="shared" si="12"/>
        <v>663</v>
      </c>
      <c r="AQ31" s="75">
        <f>AQ29+AQ24+AQ30</f>
        <v>-686</v>
      </c>
      <c r="AR31" s="75">
        <f t="shared" si="15"/>
        <v>-6407</v>
      </c>
      <c r="AS31" s="75">
        <f>AS29+AS24+AS30</f>
        <v>-10374</v>
      </c>
    </row>
    <row r="32" spans="1:45" x14ac:dyDescent="0.2">
      <c r="A32" s="5" t="s">
        <v>473</v>
      </c>
      <c r="B32" s="32">
        <f t="shared" si="0"/>
        <v>-1585</v>
      </c>
      <c r="C32" s="32">
        <f t="shared" si="1"/>
        <v>-1526</v>
      </c>
      <c r="D32" s="32">
        <f t="shared" si="2"/>
        <v>-1833</v>
      </c>
      <c r="E32" s="32">
        <f t="shared" si="3"/>
        <v>-2026</v>
      </c>
      <c r="F32" s="32">
        <f t="shared" si="4"/>
        <v>-2002</v>
      </c>
      <c r="G32" s="32">
        <f t="shared" si="5"/>
        <v>-1654</v>
      </c>
      <c r="H32" s="32">
        <f t="shared" si="6"/>
        <v>-2524</v>
      </c>
      <c r="I32" s="32">
        <f t="shared" si="7"/>
        <v>-1123</v>
      </c>
      <c r="J32" s="32">
        <f t="shared" si="8"/>
        <v>-1585</v>
      </c>
      <c r="K32" s="32">
        <f t="shared" si="9"/>
        <v>-2686</v>
      </c>
      <c r="L32" s="32">
        <f t="shared" si="10"/>
        <v>-2842</v>
      </c>
      <c r="M32" s="32">
        <f t="shared" si="11"/>
        <v>-2886</v>
      </c>
      <c r="N32" s="32">
        <v>-2416</v>
      </c>
      <c r="O32" s="32">
        <f>179</f>
        <v>179</v>
      </c>
      <c r="Q32" s="32">
        <v>-804</v>
      </c>
      <c r="R32" s="32">
        <v>-781</v>
      </c>
      <c r="S32" s="32">
        <v>-651</v>
      </c>
      <c r="T32" s="32">
        <v>-875</v>
      </c>
      <c r="U32" s="32">
        <v>-822</v>
      </c>
      <c r="V32" s="32">
        <v>-1011</v>
      </c>
      <c r="W32" s="32">
        <v>-302</v>
      </c>
      <c r="X32" s="32">
        <v>-1724</v>
      </c>
      <c r="Y32" s="32">
        <v>-795</v>
      </c>
      <c r="Z32" s="32">
        <v>-1207</v>
      </c>
      <c r="AA32" s="32">
        <v>-117</v>
      </c>
      <c r="AB32" s="32">
        <v>-1537</v>
      </c>
      <c r="AC32" s="32">
        <v>-754</v>
      </c>
      <c r="AD32" s="32">
        <v>-1770</v>
      </c>
      <c r="AE32" s="32">
        <v>369</v>
      </c>
      <c r="AF32" s="32">
        <v>-1492</v>
      </c>
      <c r="AG32" s="32">
        <v>-857</v>
      </c>
      <c r="AH32" s="32">
        <v>-728</v>
      </c>
      <c r="AI32" s="32">
        <v>-1082</v>
      </c>
      <c r="AJ32" s="32">
        <v>-1604</v>
      </c>
      <c r="AK32" s="32">
        <v>-1461</v>
      </c>
      <c r="AL32" s="32">
        <v>-1381</v>
      </c>
      <c r="AM32" s="32">
        <v>-1414</v>
      </c>
      <c r="AN32" s="32">
        <v>-1472</v>
      </c>
      <c r="AO32" s="32">
        <v>-502</v>
      </c>
      <c r="AP32" s="32">
        <f t="shared" si="12"/>
        <v>-1914</v>
      </c>
      <c r="AQ32" s="32">
        <f>-811</f>
        <v>-811</v>
      </c>
      <c r="AR32" s="32">
        <f t="shared" si="15"/>
        <v>990</v>
      </c>
      <c r="AS32" s="32">
        <f>1434</f>
        <v>1434</v>
      </c>
    </row>
    <row r="33" spans="1:45" x14ac:dyDescent="0.2">
      <c r="A33" s="37" t="s">
        <v>156</v>
      </c>
      <c r="B33" s="75">
        <f t="shared" si="0"/>
        <v>7440</v>
      </c>
      <c r="C33" s="75">
        <f t="shared" si="1"/>
        <v>5000</v>
      </c>
      <c r="D33" s="75">
        <f t="shared" si="2"/>
        <v>6664</v>
      </c>
      <c r="E33" s="75">
        <f t="shared" si="3"/>
        <v>8369</v>
      </c>
      <c r="F33" s="75">
        <f t="shared" si="4"/>
        <v>5429</v>
      </c>
      <c r="G33" s="75">
        <f t="shared" si="5"/>
        <v>4902</v>
      </c>
      <c r="H33" s="75">
        <f t="shared" si="6"/>
        <v>7893</v>
      </c>
      <c r="I33" s="75">
        <f t="shared" si="7"/>
        <v>-700</v>
      </c>
      <c r="J33" s="75">
        <f t="shared" si="8"/>
        <v>186</v>
      </c>
      <c r="K33" s="75">
        <f t="shared" si="9"/>
        <v>2036</v>
      </c>
      <c r="L33" s="32">
        <f t="shared" si="10"/>
        <v>3007</v>
      </c>
      <c r="M33" s="32">
        <f t="shared" si="11"/>
        <v>13001</v>
      </c>
      <c r="N33" s="32">
        <v>-3370</v>
      </c>
      <c r="O33" s="32">
        <f>-6914</f>
        <v>-6914</v>
      </c>
      <c r="P33" s="37"/>
      <c r="Q33" s="75">
        <v>2751</v>
      </c>
      <c r="R33" s="75">
        <v>4689</v>
      </c>
      <c r="S33" s="75">
        <v>2369</v>
      </c>
      <c r="T33" s="75">
        <v>2631</v>
      </c>
      <c r="U33" s="75">
        <v>3098</v>
      </c>
      <c r="V33" s="75">
        <v>3566</v>
      </c>
      <c r="W33" s="75">
        <v>927</v>
      </c>
      <c r="X33" s="75">
        <v>7442</v>
      </c>
      <c r="Y33" s="75">
        <v>2193</v>
      </c>
      <c r="Z33" s="75">
        <v>3236</v>
      </c>
      <c r="AA33" s="75">
        <v>1308</v>
      </c>
      <c r="AB33" s="75">
        <v>3594</v>
      </c>
      <c r="AC33" s="75">
        <v>2122</v>
      </c>
      <c r="AD33" s="75">
        <v>5771</v>
      </c>
      <c r="AE33" s="75">
        <v>-1981</v>
      </c>
      <c r="AF33" s="75">
        <v>1281</v>
      </c>
      <c r="AG33" s="75">
        <v>559</v>
      </c>
      <c r="AH33" s="75">
        <v>-373</v>
      </c>
      <c r="AI33" s="75">
        <v>-1771</v>
      </c>
      <c r="AJ33" s="75">
        <v>3807</v>
      </c>
      <c r="AK33" s="32">
        <v>1295</v>
      </c>
      <c r="AL33" s="32">
        <v>1712</v>
      </c>
      <c r="AM33" s="32">
        <f>AM31+AM32</f>
        <v>11672</v>
      </c>
      <c r="AN33" s="32">
        <v>1329</v>
      </c>
      <c r="AO33" s="32">
        <f>AO31+AO32</f>
        <v>-2119</v>
      </c>
      <c r="AP33" s="32">
        <f t="shared" si="12"/>
        <v>-1251</v>
      </c>
      <c r="AQ33" s="32">
        <f>AQ31+AQ32</f>
        <v>-1497</v>
      </c>
      <c r="AR33" s="32">
        <f t="shared" si="15"/>
        <v>-5417</v>
      </c>
      <c r="AS33" s="32">
        <f>AS31+AS32</f>
        <v>-8940</v>
      </c>
    </row>
    <row r="34" spans="1:45" x14ac:dyDescent="0.2">
      <c r="A34" s="35" t="s">
        <v>157</v>
      </c>
      <c r="B34" s="76">
        <f t="shared" si="0"/>
        <v>7440</v>
      </c>
      <c r="C34" s="76">
        <f t="shared" si="1"/>
        <v>5000</v>
      </c>
      <c r="D34" s="76">
        <f t="shared" si="2"/>
        <v>6664</v>
      </c>
      <c r="E34" s="76">
        <f t="shared" si="3"/>
        <v>8369</v>
      </c>
      <c r="F34" s="76">
        <f t="shared" si="4"/>
        <v>5429</v>
      </c>
      <c r="G34" s="76">
        <f t="shared" si="5"/>
        <v>4902</v>
      </c>
      <c r="H34" s="76">
        <f t="shared" si="6"/>
        <v>7893</v>
      </c>
      <c r="I34" s="76">
        <f t="shared" si="7"/>
        <v>-700</v>
      </c>
      <c r="J34" s="76">
        <f t="shared" si="8"/>
        <v>186</v>
      </c>
      <c r="K34" s="76">
        <f t="shared" si="9"/>
        <v>2036</v>
      </c>
      <c r="L34" s="76">
        <f t="shared" si="10"/>
        <v>3007</v>
      </c>
      <c r="M34" s="76">
        <f t="shared" si="11"/>
        <v>13001</v>
      </c>
      <c r="N34" s="76">
        <v>-3370</v>
      </c>
      <c r="O34" s="76">
        <f>-6914</f>
        <v>-6914</v>
      </c>
      <c r="P34" s="30"/>
      <c r="Q34" s="76">
        <v>2751</v>
      </c>
      <c r="R34" s="76">
        <v>4689</v>
      </c>
      <c r="S34" s="76">
        <v>2369</v>
      </c>
      <c r="T34" s="76">
        <v>2631</v>
      </c>
      <c r="U34" s="76">
        <v>3098</v>
      </c>
      <c r="V34" s="76">
        <v>3566</v>
      </c>
      <c r="W34" s="76">
        <v>927</v>
      </c>
      <c r="X34" s="76">
        <v>7442</v>
      </c>
      <c r="Y34" s="76">
        <v>2193</v>
      </c>
      <c r="Z34" s="76">
        <v>3236</v>
      </c>
      <c r="AA34" s="76">
        <v>1308</v>
      </c>
      <c r="AB34" s="76">
        <v>3594</v>
      </c>
      <c r="AC34" s="76">
        <v>2122</v>
      </c>
      <c r="AD34" s="76">
        <v>5771</v>
      </c>
      <c r="AE34" s="76">
        <v>-1981</v>
      </c>
      <c r="AF34" s="76">
        <v>1281</v>
      </c>
      <c r="AG34" s="76">
        <v>559</v>
      </c>
      <c r="AH34" s="76">
        <v>-373</v>
      </c>
      <c r="AI34" s="76">
        <v>-1771</v>
      </c>
      <c r="AJ34" s="76">
        <v>3807</v>
      </c>
      <c r="AK34" s="77">
        <v>1295</v>
      </c>
      <c r="AL34" s="59">
        <v>1712</v>
      </c>
      <c r="AM34" s="59">
        <f>AM33</f>
        <v>11672</v>
      </c>
      <c r="AN34" s="59">
        <v>1329</v>
      </c>
      <c r="AO34" s="59">
        <f>AO33</f>
        <v>-2119</v>
      </c>
      <c r="AP34" s="59">
        <f t="shared" si="12"/>
        <v>-1251</v>
      </c>
      <c r="AQ34" s="59">
        <f>AQ33</f>
        <v>-1497</v>
      </c>
      <c r="AR34" s="59">
        <f t="shared" si="15"/>
        <v>-5417</v>
      </c>
      <c r="AS34" s="59">
        <f>AS33</f>
        <v>-8940</v>
      </c>
    </row>
    <row r="35" spans="1:45" x14ac:dyDescent="0.2">
      <c r="B35" s="32">
        <f t="shared" si="0"/>
        <v>0</v>
      </c>
      <c r="C35" s="32">
        <f t="shared" si="1"/>
        <v>0</v>
      </c>
      <c r="D35" s="32">
        <f t="shared" si="2"/>
        <v>0</v>
      </c>
      <c r="E35" s="32">
        <f t="shared" si="3"/>
        <v>0</v>
      </c>
      <c r="F35" s="32">
        <f t="shared" si="4"/>
        <v>0</v>
      </c>
      <c r="G35" s="32">
        <f t="shared" si="5"/>
        <v>0</v>
      </c>
      <c r="H35" s="32">
        <f t="shared" si="6"/>
        <v>0</v>
      </c>
      <c r="I35" s="32">
        <f t="shared" si="7"/>
        <v>0</v>
      </c>
      <c r="J35" s="32">
        <f t="shared" si="8"/>
        <v>0</v>
      </c>
      <c r="K35" s="32">
        <f t="shared" si="9"/>
        <v>0</v>
      </c>
      <c r="L35" s="32">
        <f t="shared" si="10"/>
        <v>0</v>
      </c>
      <c r="M35" s="32">
        <f>SUM(AM35:AN35)</f>
        <v>0</v>
      </c>
      <c r="N35" s="32">
        <f>SUM(AO35:AP35)</f>
        <v>0</v>
      </c>
      <c r="O35" s="32">
        <f>SUM(AQ35:AR35)</f>
        <v>0</v>
      </c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L35" s="32"/>
      <c r="AM35" s="32"/>
      <c r="AN35" s="32"/>
      <c r="AO35" s="32"/>
      <c r="AP35" s="32"/>
      <c r="AQ35" s="32"/>
      <c r="AR35" s="32"/>
      <c r="AS35" s="32"/>
    </row>
    <row r="36" spans="1:45" x14ac:dyDescent="0.2">
      <c r="A36" s="39" t="s">
        <v>158</v>
      </c>
      <c r="B36" s="79">
        <f t="shared" si="0"/>
        <v>0</v>
      </c>
      <c r="C36" s="79">
        <f t="shared" si="1"/>
        <v>0</v>
      </c>
      <c r="D36" s="79">
        <f t="shared" si="2"/>
        <v>0</v>
      </c>
      <c r="E36" s="79">
        <f t="shared" si="3"/>
        <v>0</v>
      </c>
      <c r="F36" s="79">
        <f t="shared" si="4"/>
        <v>0</v>
      </c>
      <c r="G36" s="79">
        <f t="shared" si="5"/>
        <v>0</v>
      </c>
      <c r="H36" s="79">
        <f t="shared" si="6"/>
        <v>0</v>
      </c>
      <c r="I36" s="79">
        <f t="shared" si="7"/>
        <v>0</v>
      </c>
      <c r="J36" s="79">
        <f t="shared" si="8"/>
        <v>0</v>
      </c>
      <c r="K36" s="79">
        <f t="shared" si="9"/>
        <v>0</v>
      </c>
      <c r="L36" s="32">
        <f t="shared" si="10"/>
        <v>0</v>
      </c>
      <c r="M36" s="32">
        <f t="shared" si="11"/>
        <v>0</v>
      </c>
      <c r="N36" s="32">
        <f>SUM(AO36:AP36)</f>
        <v>0</v>
      </c>
      <c r="O36" s="32">
        <f>SUM(AQ36:AR36)</f>
        <v>0</v>
      </c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  <c r="AC36" s="79"/>
      <c r="AD36" s="79"/>
      <c r="AE36" s="79"/>
      <c r="AF36" s="79"/>
      <c r="AG36" s="79"/>
      <c r="AH36" s="79"/>
      <c r="AI36" s="79"/>
      <c r="AJ36" s="79"/>
      <c r="AL36" s="32"/>
      <c r="AM36" s="32"/>
      <c r="AN36" s="32"/>
      <c r="AO36" s="32"/>
      <c r="AP36" s="32"/>
      <c r="AQ36" s="32"/>
      <c r="AR36" s="32"/>
      <c r="AS36" s="32"/>
    </row>
    <row r="37" spans="1:45" x14ac:dyDescent="0.2">
      <c r="A37" s="5" t="s">
        <v>159</v>
      </c>
      <c r="B37" s="32">
        <f t="shared" si="0"/>
        <v>7332</v>
      </c>
      <c r="C37" s="32">
        <f t="shared" si="1"/>
        <v>4979</v>
      </c>
      <c r="D37" s="32">
        <f t="shared" si="2"/>
        <v>6629</v>
      </c>
      <c r="E37" s="32">
        <f t="shared" si="3"/>
        <v>8345</v>
      </c>
      <c r="F37" s="32">
        <f t="shared" si="4"/>
        <v>5399</v>
      </c>
      <c r="G37" s="32">
        <f t="shared" si="5"/>
        <v>4902</v>
      </c>
      <c r="H37" s="32">
        <f t="shared" si="6"/>
        <v>7890</v>
      </c>
      <c r="I37" s="32">
        <f t="shared" si="7"/>
        <v>-702</v>
      </c>
      <c r="J37" s="32">
        <f t="shared" si="8"/>
        <v>795</v>
      </c>
      <c r="K37" s="32">
        <f t="shared" si="9"/>
        <v>2036</v>
      </c>
      <c r="L37" s="80">
        <f t="shared" si="10"/>
        <v>3007</v>
      </c>
      <c r="M37" s="80">
        <f t="shared" si="11"/>
        <v>12948</v>
      </c>
      <c r="N37" s="80">
        <v>-3370</v>
      </c>
      <c r="O37" s="80">
        <f>-6914</f>
        <v>-6914</v>
      </c>
      <c r="Q37" s="32">
        <v>2723</v>
      </c>
      <c r="R37" s="32">
        <v>4609</v>
      </c>
      <c r="S37" s="32">
        <v>2342</v>
      </c>
      <c r="T37" s="32">
        <v>2637</v>
      </c>
      <c r="U37" s="32">
        <v>3083</v>
      </c>
      <c r="V37" s="32">
        <v>3546</v>
      </c>
      <c r="W37" s="32">
        <v>927</v>
      </c>
      <c r="X37" s="32">
        <v>7418</v>
      </c>
      <c r="Y37" s="32">
        <v>2188</v>
      </c>
      <c r="Z37" s="32">
        <v>3211</v>
      </c>
      <c r="AA37" s="32">
        <v>1307</v>
      </c>
      <c r="AB37" s="32">
        <v>3595</v>
      </c>
      <c r="AC37" s="32">
        <v>2118</v>
      </c>
      <c r="AD37" s="32">
        <v>5772</v>
      </c>
      <c r="AE37" s="32">
        <v>-1982</v>
      </c>
      <c r="AF37" s="32">
        <v>1280</v>
      </c>
      <c r="AG37" s="32">
        <v>1142</v>
      </c>
      <c r="AH37" s="32">
        <v>-347</v>
      </c>
      <c r="AI37" s="32">
        <v>-1772</v>
      </c>
      <c r="AJ37" s="32">
        <v>3808</v>
      </c>
      <c r="AK37" s="80">
        <v>1295</v>
      </c>
      <c r="AL37" s="80">
        <v>1712</v>
      </c>
      <c r="AM37" s="80">
        <v>11663</v>
      </c>
      <c r="AN37" s="80">
        <v>1285</v>
      </c>
      <c r="AO37" s="80">
        <f>AO34-AO38</f>
        <v>-2119</v>
      </c>
      <c r="AP37" s="80">
        <f t="shared" si="12"/>
        <v>-1251</v>
      </c>
      <c r="AQ37" s="80">
        <f>AQ34-AQ38</f>
        <v>-1497</v>
      </c>
      <c r="AR37" s="80">
        <f>O37-AQ37</f>
        <v>-5417</v>
      </c>
      <c r="AS37" s="80">
        <f>AS34-AS38</f>
        <v>-8940</v>
      </c>
    </row>
    <row r="38" spans="1:45" x14ac:dyDescent="0.2">
      <c r="A38" s="5" t="s">
        <v>160</v>
      </c>
      <c r="B38" s="32">
        <f t="shared" si="0"/>
        <v>108</v>
      </c>
      <c r="C38" s="32">
        <f t="shared" si="1"/>
        <v>21</v>
      </c>
      <c r="D38" s="32">
        <f t="shared" si="2"/>
        <v>35</v>
      </c>
      <c r="E38" s="32">
        <f t="shared" si="3"/>
        <v>24</v>
      </c>
      <c r="F38" s="32">
        <f t="shared" si="4"/>
        <v>30</v>
      </c>
      <c r="G38" s="32">
        <f t="shared" si="5"/>
        <v>0</v>
      </c>
      <c r="H38" s="32">
        <f t="shared" si="6"/>
        <v>3</v>
      </c>
      <c r="I38" s="32">
        <f t="shared" si="7"/>
        <v>2</v>
      </c>
      <c r="J38" s="32">
        <f t="shared" si="8"/>
        <v>-609</v>
      </c>
      <c r="K38" s="32">
        <f t="shared" si="9"/>
        <v>0</v>
      </c>
      <c r="L38" s="32">
        <f t="shared" si="10"/>
        <v>0</v>
      </c>
      <c r="M38" s="32">
        <f t="shared" si="11"/>
        <v>53</v>
      </c>
      <c r="N38" s="32">
        <v>0</v>
      </c>
      <c r="O38" s="32">
        <f>0</f>
        <v>0</v>
      </c>
      <c r="Q38" s="32">
        <v>28</v>
      </c>
      <c r="R38" s="32">
        <v>80</v>
      </c>
      <c r="S38" s="32">
        <v>27</v>
      </c>
      <c r="T38" s="32">
        <v>-6</v>
      </c>
      <c r="U38" s="32">
        <v>15</v>
      </c>
      <c r="V38" s="32">
        <v>20</v>
      </c>
      <c r="W38" s="32">
        <v>0</v>
      </c>
      <c r="X38" s="32">
        <v>24</v>
      </c>
      <c r="Y38" s="32">
        <v>5</v>
      </c>
      <c r="Z38" s="32">
        <v>25</v>
      </c>
      <c r="AA38" s="32">
        <v>1</v>
      </c>
      <c r="AB38" s="32">
        <v>-1</v>
      </c>
      <c r="AC38" s="32">
        <v>4</v>
      </c>
      <c r="AD38" s="32">
        <v>-1</v>
      </c>
      <c r="AE38" s="32">
        <v>1</v>
      </c>
      <c r="AF38" s="32">
        <v>1</v>
      </c>
      <c r="AG38" s="32">
        <v>-583</v>
      </c>
      <c r="AH38" s="32">
        <v>-26</v>
      </c>
      <c r="AI38" s="32">
        <v>1</v>
      </c>
      <c r="AJ38" s="32">
        <v>-1</v>
      </c>
      <c r="AK38" s="32">
        <v>0</v>
      </c>
      <c r="AL38" s="32">
        <v>0</v>
      </c>
      <c r="AM38" s="32">
        <v>9</v>
      </c>
      <c r="AN38" s="32">
        <v>44</v>
      </c>
      <c r="AO38" s="32">
        <v>0</v>
      </c>
      <c r="AP38" s="32">
        <f t="shared" si="12"/>
        <v>0</v>
      </c>
      <c r="AQ38" s="32">
        <f>0</f>
        <v>0</v>
      </c>
      <c r="AR38" s="32">
        <f t="shared" ref="AR38" si="16">O38-AQ38</f>
        <v>0</v>
      </c>
      <c r="AS38" s="32">
        <f>0</f>
        <v>0</v>
      </c>
    </row>
    <row r="39" spans="1:45" x14ac:dyDescent="0.2">
      <c r="A39" s="35" t="s">
        <v>156</v>
      </c>
      <c r="B39" s="76">
        <f t="shared" si="0"/>
        <v>7440</v>
      </c>
      <c r="C39" s="76">
        <f t="shared" si="1"/>
        <v>5000</v>
      </c>
      <c r="D39" s="76">
        <f t="shared" si="2"/>
        <v>6664</v>
      </c>
      <c r="E39" s="76">
        <f t="shared" si="3"/>
        <v>8369</v>
      </c>
      <c r="F39" s="76">
        <f t="shared" si="4"/>
        <v>5429</v>
      </c>
      <c r="G39" s="76">
        <f t="shared" si="5"/>
        <v>4902</v>
      </c>
      <c r="H39" s="76">
        <f t="shared" si="6"/>
        <v>7893</v>
      </c>
      <c r="I39" s="76">
        <f t="shared" si="7"/>
        <v>-700</v>
      </c>
      <c r="J39" s="76">
        <f t="shared" si="8"/>
        <v>186</v>
      </c>
      <c r="K39" s="76">
        <f t="shared" si="9"/>
        <v>2036</v>
      </c>
      <c r="L39" s="76">
        <f t="shared" si="10"/>
        <v>3007</v>
      </c>
      <c r="M39" s="76">
        <f t="shared" si="11"/>
        <v>13001</v>
      </c>
      <c r="N39" s="76">
        <v>-3370</v>
      </c>
      <c r="O39" s="76">
        <f>-6914</f>
        <v>-6914</v>
      </c>
      <c r="P39" s="30"/>
      <c r="Q39" s="76">
        <v>2751</v>
      </c>
      <c r="R39" s="76">
        <v>4689</v>
      </c>
      <c r="S39" s="76">
        <v>2369</v>
      </c>
      <c r="T39" s="76">
        <v>2631</v>
      </c>
      <c r="U39" s="76">
        <v>3098</v>
      </c>
      <c r="V39" s="76">
        <v>3566</v>
      </c>
      <c r="W39" s="76">
        <v>927</v>
      </c>
      <c r="X39" s="76">
        <v>7442</v>
      </c>
      <c r="Y39" s="76">
        <v>2193</v>
      </c>
      <c r="Z39" s="76">
        <v>3236</v>
      </c>
      <c r="AA39" s="76">
        <v>1308</v>
      </c>
      <c r="AB39" s="76">
        <v>3594</v>
      </c>
      <c r="AC39" s="76">
        <v>2122</v>
      </c>
      <c r="AD39" s="76">
        <v>5771</v>
      </c>
      <c r="AE39" s="76">
        <v>-1981</v>
      </c>
      <c r="AF39" s="76">
        <v>1281</v>
      </c>
      <c r="AG39" s="76">
        <v>559</v>
      </c>
      <c r="AH39" s="76">
        <v>-373</v>
      </c>
      <c r="AI39" s="76">
        <v>-1771</v>
      </c>
      <c r="AJ39" s="76">
        <v>3807</v>
      </c>
      <c r="AK39" s="59">
        <v>1295</v>
      </c>
      <c r="AL39" s="59">
        <v>1712</v>
      </c>
      <c r="AM39" s="59">
        <f>SUM(AM37:AM38)</f>
        <v>11672</v>
      </c>
      <c r="AN39" s="59">
        <v>1329</v>
      </c>
      <c r="AO39" s="59">
        <f>SUM(AO37:AO38)</f>
        <v>-2119</v>
      </c>
      <c r="AP39" s="59">
        <f t="shared" si="12"/>
        <v>-1251</v>
      </c>
      <c r="AQ39" s="59">
        <f>SUM(AQ37:AQ38)</f>
        <v>-1497</v>
      </c>
      <c r="AR39" s="59">
        <f>O39-AQ39</f>
        <v>-5417</v>
      </c>
      <c r="AS39" s="59">
        <f>SUM(AS37:AS38)</f>
        <v>-8940</v>
      </c>
    </row>
    <row r="40" spans="1:45" x14ac:dyDescent="0.2">
      <c r="B40" s="32">
        <f t="shared" si="0"/>
        <v>0</v>
      </c>
      <c r="C40" s="32">
        <f t="shared" si="1"/>
        <v>0</v>
      </c>
      <c r="D40" s="32">
        <f t="shared" si="2"/>
        <v>0</v>
      </c>
      <c r="E40" s="32">
        <f t="shared" si="3"/>
        <v>0</v>
      </c>
      <c r="F40" s="32">
        <f t="shared" si="4"/>
        <v>0</v>
      </c>
      <c r="G40" s="32">
        <f t="shared" si="5"/>
        <v>0</v>
      </c>
      <c r="H40" s="32">
        <f t="shared" si="6"/>
        <v>0</v>
      </c>
      <c r="I40" s="32">
        <f t="shared" si="7"/>
        <v>0</v>
      </c>
      <c r="J40" s="32">
        <f t="shared" si="8"/>
        <v>0</v>
      </c>
      <c r="K40" s="32">
        <f t="shared" si="9"/>
        <v>0</v>
      </c>
      <c r="L40" s="32">
        <f t="shared" si="10"/>
        <v>0</v>
      </c>
      <c r="M40" s="32">
        <f t="shared" si="11"/>
        <v>0</v>
      </c>
      <c r="N40" s="32">
        <f>SUM(AO40:AP40)</f>
        <v>0</v>
      </c>
      <c r="O40" s="32">
        <f t="shared" ref="O40:O41" si="17">SUM(AQ40:AR40)</f>
        <v>0</v>
      </c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L40" s="32"/>
      <c r="AM40" s="32"/>
      <c r="AN40" s="32"/>
      <c r="AO40" s="32"/>
      <c r="AP40" s="32"/>
      <c r="AQ40" s="32"/>
      <c r="AR40" s="32"/>
      <c r="AS40" s="32"/>
    </row>
    <row r="41" spans="1:45" x14ac:dyDescent="0.2">
      <c r="A41" s="39" t="s">
        <v>161</v>
      </c>
      <c r="B41" s="79">
        <f t="shared" si="0"/>
        <v>0</v>
      </c>
      <c r="C41" s="79">
        <f t="shared" si="1"/>
        <v>0</v>
      </c>
      <c r="D41" s="79">
        <f t="shared" si="2"/>
        <v>0</v>
      </c>
      <c r="E41" s="79">
        <f t="shared" si="3"/>
        <v>0</v>
      </c>
      <c r="F41" s="79">
        <f t="shared" si="4"/>
        <v>0</v>
      </c>
      <c r="G41" s="79">
        <f t="shared" si="5"/>
        <v>0</v>
      </c>
      <c r="H41" s="79">
        <f t="shared" si="6"/>
        <v>0</v>
      </c>
      <c r="I41" s="79">
        <f t="shared" si="7"/>
        <v>0</v>
      </c>
      <c r="J41" s="79">
        <f t="shared" si="8"/>
        <v>0</v>
      </c>
      <c r="K41" s="79">
        <f t="shared" si="9"/>
        <v>0</v>
      </c>
      <c r="L41" s="32">
        <f t="shared" si="10"/>
        <v>0</v>
      </c>
      <c r="M41" s="32">
        <f t="shared" si="11"/>
        <v>0</v>
      </c>
      <c r="N41" s="32">
        <f>SUM(AO41:AP41)</f>
        <v>0</v>
      </c>
      <c r="O41" s="32">
        <f t="shared" si="17"/>
        <v>0</v>
      </c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  <c r="AD41" s="79"/>
      <c r="AE41" s="79"/>
      <c r="AF41" s="79"/>
      <c r="AG41" s="79"/>
      <c r="AH41" s="79"/>
      <c r="AI41" s="79"/>
      <c r="AJ41" s="79"/>
      <c r="AL41" s="32"/>
      <c r="AM41" s="32"/>
      <c r="AN41" s="32"/>
      <c r="AO41" s="32"/>
      <c r="AP41" s="32"/>
      <c r="AQ41" s="32"/>
      <c r="AR41" s="32"/>
      <c r="AS41" s="32"/>
    </row>
    <row r="42" spans="1:45" x14ac:dyDescent="0.2">
      <c r="A42" s="5" t="s">
        <v>159</v>
      </c>
      <c r="B42" s="32">
        <f t="shared" si="0"/>
        <v>7332</v>
      </c>
      <c r="C42" s="32">
        <f t="shared" si="1"/>
        <v>4979</v>
      </c>
      <c r="D42" s="32">
        <f t="shared" si="2"/>
        <v>6629</v>
      </c>
      <c r="E42" s="32">
        <f t="shared" si="3"/>
        <v>8345</v>
      </c>
      <c r="F42" s="32">
        <f t="shared" si="4"/>
        <v>5399</v>
      </c>
      <c r="G42" s="32">
        <f t="shared" si="5"/>
        <v>4902</v>
      </c>
      <c r="H42" s="32">
        <f t="shared" si="6"/>
        <v>7890</v>
      </c>
      <c r="I42" s="32">
        <f t="shared" si="7"/>
        <v>-702</v>
      </c>
      <c r="J42" s="32">
        <f t="shared" si="8"/>
        <v>795</v>
      </c>
      <c r="K42" s="32">
        <f t="shared" si="9"/>
        <v>2036</v>
      </c>
      <c r="L42" s="80">
        <f t="shared" si="10"/>
        <v>3007</v>
      </c>
      <c r="M42" s="80">
        <f t="shared" si="11"/>
        <v>12948</v>
      </c>
      <c r="N42" s="80">
        <v>-3370</v>
      </c>
      <c r="O42" s="80">
        <f>-6914</f>
        <v>-6914</v>
      </c>
      <c r="Q42" s="32">
        <v>2723</v>
      </c>
      <c r="R42" s="32">
        <v>4609</v>
      </c>
      <c r="S42" s="32">
        <v>2342</v>
      </c>
      <c r="T42" s="32">
        <v>2637</v>
      </c>
      <c r="U42" s="32">
        <v>3083</v>
      </c>
      <c r="V42" s="32">
        <v>3546</v>
      </c>
      <c r="W42" s="32">
        <v>927</v>
      </c>
      <c r="X42" s="32">
        <v>7418</v>
      </c>
      <c r="Y42" s="32">
        <v>2188</v>
      </c>
      <c r="Z42" s="32">
        <v>3211</v>
      </c>
      <c r="AA42" s="32">
        <v>1307</v>
      </c>
      <c r="AB42" s="32">
        <v>3595</v>
      </c>
      <c r="AC42" s="32">
        <v>2118</v>
      </c>
      <c r="AD42" s="32">
        <v>5772</v>
      </c>
      <c r="AE42" s="32">
        <v>-1982</v>
      </c>
      <c r="AF42" s="32">
        <v>1280</v>
      </c>
      <c r="AG42" s="32">
        <v>1142</v>
      </c>
      <c r="AH42" s="32">
        <v>-347</v>
      </c>
      <c r="AI42" s="32">
        <v>-1772</v>
      </c>
      <c r="AJ42" s="32">
        <v>3808</v>
      </c>
      <c r="AK42" s="80">
        <v>1295</v>
      </c>
      <c r="AL42" s="80">
        <v>1712</v>
      </c>
      <c r="AM42" s="80">
        <v>11663</v>
      </c>
      <c r="AN42" s="80">
        <v>1285</v>
      </c>
      <c r="AO42" s="80">
        <f>AO37</f>
        <v>-2119</v>
      </c>
      <c r="AP42" s="80">
        <f t="shared" si="12"/>
        <v>-1251</v>
      </c>
      <c r="AQ42" s="80">
        <f>AQ37</f>
        <v>-1497</v>
      </c>
      <c r="AR42" s="80">
        <f>O42-AQ42</f>
        <v>-5417</v>
      </c>
      <c r="AS42" s="80">
        <f>AS37</f>
        <v>-8940</v>
      </c>
    </row>
    <row r="43" spans="1:45" x14ac:dyDescent="0.2">
      <c r="A43" s="5" t="s">
        <v>160</v>
      </c>
      <c r="B43" s="32">
        <f t="shared" si="0"/>
        <v>108</v>
      </c>
      <c r="C43" s="32">
        <f t="shared" si="1"/>
        <v>21</v>
      </c>
      <c r="D43" s="32">
        <f t="shared" si="2"/>
        <v>35</v>
      </c>
      <c r="E43" s="32">
        <f t="shared" si="3"/>
        <v>24</v>
      </c>
      <c r="F43" s="32">
        <f t="shared" si="4"/>
        <v>30</v>
      </c>
      <c r="G43" s="32">
        <f t="shared" si="5"/>
        <v>0</v>
      </c>
      <c r="H43" s="32">
        <f t="shared" si="6"/>
        <v>3</v>
      </c>
      <c r="I43" s="32">
        <f t="shared" si="7"/>
        <v>2</v>
      </c>
      <c r="J43" s="32">
        <f t="shared" si="8"/>
        <v>-609</v>
      </c>
      <c r="K43" s="32">
        <f t="shared" si="9"/>
        <v>0</v>
      </c>
      <c r="L43" s="32">
        <f t="shared" si="10"/>
        <v>0</v>
      </c>
      <c r="M43" s="32">
        <f t="shared" si="11"/>
        <v>53</v>
      </c>
      <c r="N43" s="32">
        <v>0</v>
      </c>
      <c r="O43" s="32">
        <f>0</f>
        <v>0</v>
      </c>
      <c r="Q43" s="32">
        <v>28</v>
      </c>
      <c r="R43" s="32">
        <v>80</v>
      </c>
      <c r="S43" s="32">
        <v>27</v>
      </c>
      <c r="T43" s="32">
        <v>-6</v>
      </c>
      <c r="U43" s="32">
        <v>15</v>
      </c>
      <c r="V43" s="32">
        <v>20</v>
      </c>
      <c r="W43" s="32">
        <v>0</v>
      </c>
      <c r="X43" s="32">
        <v>24</v>
      </c>
      <c r="Y43" s="32">
        <v>5</v>
      </c>
      <c r="Z43" s="32">
        <v>25</v>
      </c>
      <c r="AA43" s="32">
        <v>1</v>
      </c>
      <c r="AB43" s="32">
        <v>-1</v>
      </c>
      <c r="AC43" s="32">
        <v>4</v>
      </c>
      <c r="AD43" s="32">
        <v>-1</v>
      </c>
      <c r="AE43" s="32">
        <v>1</v>
      </c>
      <c r="AF43" s="32">
        <v>1</v>
      </c>
      <c r="AG43" s="32">
        <v>-583</v>
      </c>
      <c r="AH43" s="32">
        <v>-26</v>
      </c>
      <c r="AI43" s="32">
        <v>1</v>
      </c>
      <c r="AJ43" s="32">
        <v>-1</v>
      </c>
      <c r="AK43" s="32">
        <v>0</v>
      </c>
      <c r="AL43" s="32">
        <v>0</v>
      </c>
      <c r="AM43" s="32">
        <v>9</v>
      </c>
      <c r="AN43" s="32">
        <v>44</v>
      </c>
      <c r="AO43" s="32">
        <v>0</v>
      </c>
      <c r="AP43" s="32">
        <f t="shared" si="12"/>
        <v>0</v>
      </c>
      <c r="AQ43" s="32">
        <v>0</v>
      </c>
      <c r="AR43" s="32">
        <f t="shared" ref="AR43" si="18">O43-AQ43</f>
        <v>0</v>
      </c>
      <c r="AS43" s="32">
        <v>0</v>
      </c>
    </row>
    <row r="44" spans="1:45" x14ac:dyDescent="0.2">
      <c r="A44" s="35" t="s">
        <v>157</v>
      </c>
      <c r="B44" s="76">
        <f t="shared" si="0"/>
        <v>7440</v>
      </c>
      <c r="C44" s="76">
        <f t="shared" si="1"/>
        <v>5000</v>
      </c>
      <c r="D44" s="76">
        <f t="shared" si="2"/>
        <v>6664</v>
      </c>
      <c r="E44" s="76">
        <f t="shared" si="3"/>
        <v>8369</v>
      </c>
      <c r="F44" s="76">
        <f t="shared" si="4"/>
        <v>5429</v>
      </c>
      <c r="G44" s="76">
        <f t="shared" si="5"/>
        <v>4902</v>
      </c>
      <c r="H44" s="76">
        <f t="shared" si="6"/>
        <v>7893</v>
      </c>
      <c r="I44" s="76">
        <f t="shared" si="7"/>
        <v>-700</v>
      </c>
      <c r="J44" s="76">
        <f t="shared" si="8"/>
        <v>186</v>
      </c>
      <c r="K44" s="76">
        <f t="shared" si="9"/>
        <v>2036</v>
      </c>
      <c r="L44" s="76">
        <f t="shared" si="10"/>
        <v>3007</v>
      </c>
      <c r="M44" s="76">
        <f t="shared" si="11"/>
        <v>13001</v>
      </c>
      <c r="N44" s="76">
        <v>-3370</v>
      </c>
      <c r="O44" s="76">
        <f>-6914</f>
        <v>-6914</v>
      </c>
      <c r="P44" s="30"/>
      <c r="Q44" s="76">
        <v>2751</v>
      </c>
      <c r="R44" s="76">
        <v>4689</v>
      </c>
      <c r="S44" s="76">
        <v>2369</v>
      </c>
      <c r="T44" s="76">
        <v>2631</v>
      </c>
      <c r="U44" s="76">
        <v>3098</v>
      </c>
      <c r="V44" s="76">
        <v>3566</v>
      </c>
      <c r="W44" s="76">
        <v>927</v>
      </c>
      <c r="X44" s="76">
        <v>7442</v>
      </c>
      <c r="Y44" s="76">
        <v>2193</v>
      </c>
      <c r="Z44" s="76">
        <v>3236</v>
      </c>
      <c r="AA44" s="76">
        <v>1308</v>
      </c>
      <c r="AB44" s="76">
        <v>3594</v>
      </c>
      <c r="AC44" s="76">
        <v>2122</v>
      </c>
      <c r="AD44" s="76">
        <v>5771</v>
      </c>
      <c r="AE44" s="76">
        <v>-1981</v>
      </c>
      <c r="AF44" s="76">
        <v>1281</v>
      </c>
      <c r="AG44" s="76">
        <v>559</v>
      </c>
      <c r="AH44" s="76">
        <v>-373</v>
      </c>
      <c r="AI44" s="76">
        <v>-1771</v>
      </c>
      <c r="AJ44" s="76">
        <v>3807</v>
      </c>
      <c r="AK44" s="59">
        <v>1295</v>
      </c>
      <c r="AL44" s="59">
        <v>1712</v>
      </c>
      <c r="AM44" s="59">
        <f>SUM(AM42:AM43)</f>
        <v>11672</v>
      </c>
      <c r="AN44" s="59">
        <v>1329</v>
      </c>
      <c r="AO44" s="59">
        <f>SUM(AO42:AO43)</f>
        <v>-2119</v>
      </c>
      <c r="AP44" s="59">
        <f t="shared" si="12"/>
        <v>-1251</v>
      </c>
      <c r="AQ44" s="59">
        <f>SUM(AQ42:AQ43)</f>
        <v>-1497</v>
      </c>
      <c r="AR44" s="59">
        <f>O44-AQ44</f>
        <v>-5417</v>
      </c>
      <c r="AS44" s="59">
        <f>SUM(AS42:AS43)</f>
        <v>-8940</v>
      </c>
    </row>
    <row r="45" spans="1:45" x14ac:dyDescent="0.2">
      <c r="A45" s="5"/>
      <c r="AB45" s="81"/>
      <c r="AQ45" s="5"/>
      <c r="AR45" s="5"/>
      <c r="AS45" s="5"/>
    </row>
    <row r="46" spans="1:45" x14ac:dyDescent="0.2">
      <c r="A46" s="5"/>
      <c r="AB46" s="81"/>
      <c r="AQ46" s="5"/>
      <c r="AR46" s="5"/>
      <c r="AS46" s="5"/>
    </row>
    <row r="47" spans="1:45" ht="18" x14ac:dyDescent="0.25">
      <c r="A47" s="51" t="s">
        <v>1</v>
      </c>
      <c r="AQ47" s="5"/>
      <c r="AR47" s="5"/>
      <c r="AS47" s="5"/>
    </row>
    <row r="48" spans="1:45" ht="15" x14ac:dyDescent="0.25">
      <c r="A48" s="164" t="s">
        <v>44</v>
      </c>
      <c r="AQ48" s="5"/>
      <c r="AR48" s="5"/>
      <c r="AS48" s="5"/>
    </row>
    <row r="49" spans="1:45" x14ac:dyDescent="0.2">
      <c r="AQ49" s="5"/>
      <c r="AR49" s="5"/>
      <c r="AS49" s="5"/>
    </row>
    <row r="50" spans="1:45" x14ac:dyDescent="0.2">
      <c r="A50" s="40" t="s">
        <v>57</v>
      </c>
      <c r="B50" s="71">
        <v>2011</v>
      </c>
      <c r="C50" s="71">
        <v>2012</v>
      </c>
      <c r="D50" s="71">
        <v>2013</v>
      </c>
      <c r="E50" s="71">
        <v>2014</v>
      </c>
      <c r="F50" s="71">
        <v>2015</v>
      </c>
      <c r="G50" s="71">
        <v>2016</v>
      </c>
      <c r="H50" s="71">
        <v>2017</v>
      </c>
      <c r="I50" s="71">
        <v>2018</v>
      </c>
      <c r="J50" s="71">
        <v>2019</v>
      </c>
      <c r="K50" s="71">
        <v>2020</v>
      </c>
      <c r="L50" s="71">
        <v>2021</v>
      </c>
      <c r="M50" s="71">
        <v>2022</v>
      </c>
      <c r="N50" s="71">
        <v>2023</v>
      </c>
      <c r="O50" s="71">
        <v>2024</v>
      </c>
      <c r="Q50" s="88" t="s">
        <v>237</v>
      </c>
      <c r="R50" s="88" t="s">
        <v>238</v>
      </c>
      <c r="S50" s="88" t="s">
        <v>239</v>
      </c>
      <c r="T50" s="88" t="s">
        <v>240</v>
      </c>
      <c r="U50" s="88" t="s">
        <v>241</v>
      </c>
      <c r="V50" s="88" t="s">
        <v>242</v>
      </c>
      <c r="W50" s="88" t="s">
        <v>243</v>
      </c>
      <c r="X50" s="88" t="s">
        <v>244</v>
      </c>
      <c r="Y50" s="88" t="s">
        <v>245</v>
      </c>
      <c r="Z50" s="88" t="s">
        <v>246</v>
      </c>
      <c r="AA50" s="88" t="s">
        <v>247</v>
      </c>
      <c r="AB50" s="89" t="s">
        <v>248</v>
      </c>
      <c r="AC50" s="88" t="s">
        <v>249</v>
      </c>
      <c r="AD50" s="88" t="s">
        <v>250</v>
      </c>
      <c r="AE50" s="88" t="s">
        <v>251</v>
      </c>
      <c r="AF50" s="88" t="s">
        <v>252</v>
      </c>
      <c r="AG50" s="88" t="s">
        <v>253</v>
      </c>
      <c r="AH50" s="88" t="s">
        <v>254</v>
      </c>
      <c r="AI50" s="88" t="s">
        <v>255</v>
      </c>
      <c r="AJ50" s="88" t="s">
        <v>256</v>
      </c>
      <c r="AK50" s="88" t="s">
        <v>257</v>
      </c>
      <c r="AL50" s="88" t="s">
        <v>258</v>
      </c>
      <c r="AM50" s="88" t="s">
        <v>259</v>
      </c>
      <c r="AN50" s="88" t="s">
        <v>260</v>
      </c>
      <c r="AO50" s="88" t="str">
        <f>AO5</f>
        <v>1П 2023</v>
      </c>
      <c r="AP50" s="88" t="str">
        <f>AP5</f>
        <v>2П 2023</v>
      </c>
      <c r="AQ50" s="88" t="str">
        <f>AQ5</f>
        <v>1П 2024</v>
      </c>
      <c r="AR50" s="88" t="s">
        <v>403</v>
      </c>
      <c r="AS50" s="88" t="s">
        <v>470</v>
      </c>
    </row>
    <row r="51" spans="1:45" x14ac:dyDescent="0.2">
      <c r="A51" s="37" t="s">
        <v>46</v>
      </c>
      <c r="B51" s="75">
        <f>SUM(ОФР!Q51:R51)</f>
        <v>10853</v>
      </c>
      <c r="C51" s="75">
        <f>SUM(ОФР!S51:T51)</f>
        <v>9400</v>
      </c>
      <c r="D51" s="75">
        <f>SUM(ОФР!U51:V51)</f>
        <v>12368</v>
      </c>
      <c r="E51" s="75">
        <f>SUM(ОФР!W51:X51)</f>
        <v>15796</v>
      </c>
      <c r="F51" s="75">
        <f>SUM(ОФР!Y51:Z51)</f>
        <v>12999</v>
      </c>
      <c r="G51" s="75">
        <f>SUM(ОФР!AA51:AB51)</f>
        <v>12209</v>
      </c>
      <c r="H51" s="75">
        <f>SUM(ОФР!AC51:AD51)</f>
        <v>18001</v>
      </c>
      <c r="I51" s="75">
        <f>SUM(ОФР!AE51:AF51)</f>
        <v>17055</v>
      </c>
      <c r="J51" s="75">
        <f>SUM(ОФР!AG51:AH51)</f>
        <v>20057</v>
      </c>
      <c r="K51" s="75">
        <f>SUM(ОФР!AI51:AJ51)</f>
        <v>21915</v>
      </c>
      <c r="L51" s="75">
        <f>SUM(AK51:AL51)</f>
        <v>27782</v>
      </c>
      <c r="M51" s="75">
        <f>SUM(AM51:AN51)</f>
        <v>28203</v>
      </c>
      <c r="N51" s="75">
        <f>N17</f>
        <v>29971</v>
      </c>
      <c r="O51" s="75">
        <f>O17</f>
        <v>41378</v>
      </c>
      <c r="P51" s="37"/>
      <c r="Q51" s="75">
        <v>4659</v>
      </c>
      <c r="R51" s="75">
        <v>6194</v>
      </c>
      <c r="S51" s="75">
        <v>6194</v>
      </c>
      <c r="T51" s="75">
        <v>3206</v>
      </c>
      <c r="U51" s="75">
        <v>4360</v>
      </c>
      <c r="V51" s="75">
        <v>8008</v>
      </c>
      <c r="W51" s="75">
        <v>5040</v>
      </c>
      <c r="X51" s="75">
        <v>10756</v>
      </c>
      <c r="Y51" s="75">
        <v>5571</v>
      </c>
      <c r="Z51" s="75">
        <v>7428</v>
      </c>
      <c r="AA51" s="75">
        <v>6797</v>
      </c>
      <c r="AB51" s="83">
        <v>5412</v>
      </c>
      <c r="AC51" s="75">
        <v>3780</v>
      </c>
      <c r="AD51" s="75">
        <v>14221</v>
      </c>
      <c r="AE51" s="75">
        <v>12016</v>
      </c>
      <c r="AF51" s="75">
        <v>5039</v>
      </c>
      <c r="AG51" s="75">
        <v>7435</v>
      </c>
      <c r="AH51" s="75">
        <v>12622</v>
      </c>
      <c r="AI51" s="75">
        <v>4057</v>
      </c>
      <c r="AJ51" s="75">
        <v>17858</v>
      </c>
      <c r="AK51" s="75">
        <f>AK17</f>
        <v>13798</v>
      </c>
      <c r="AL51" s="75">
        <f>AL17</f>
        <v>13984</v>
      </c>
      <c r="AM51" s="75">
        <f>AM17</f>
        <v>9758</v>
      </c>
      <c r="AN51" s="75">
        <v>18445</v>
      </c>
      <c r="AO51" s="75">
        <f>AO17</f>
        <v>11246</v>
      </c>
      <c r="AP51" s="75">
        <f t="shared" ref="AP51:AP58" si="19">N51-AO51</f>
        <v>18725</v>
      </c>
      <c r="AQ51" s="75">
        <f>AQ17</f>
        <v>19568</v>
      </c>
      <c r="AR51" s="75">
        <f>O51-AQ51</f>
        <v>21810</v>
      </c>
      <c r="AS51" s="75">
        <f>20887</f>
        <v>20887</v>
      </c>
    </row>
    <row r="52" spans="1:45" x14ac:dyDescent="0.2">
      <c r="A52" s="5" t="s">
        <v>216</v>
      </c>
      <c r="B52" s="32">
        <f>SUM(ОФР!Q52:R52)</f>
        <v>-2328</v>
      </c>
      <c r="C52" s="32">
        <f>SUM(ОФР!S52:T52)</f>
        <v>-2324</v>
      </c>
      <c r="D52" s="32">
        <f>SUM(ОФР!U52:V52)</f>
        <v>-3157</v>
      </c>
      <c r="E52" s="32">
        <f>SUM(ОФР!W52:X52)</f>
        <v>-4178</v>
      </c>
      <c r="F52" s="32">
        <f>SUM(ОФР!Y52:Z52)</f>
        <v>-4348</v>
      </c>
      <c r="G52" s="32">
        <f>SUM(ОФР!AA52:AB52)</f>
        <v>-4454</v>
      </c>
      <c r="H52" s="32">
        <f>SUM(ОФР!AC52:AD52)</f>
        <v>-5052</v>
      </c>
      <c r="I52" s="32">
        <f>SUM(ОФР!AE52:AF52)</f>
        <v>-6922</v>
      </c>
      <c r="J52" s="32">
        <f>SUM(ОФР!AG52:AH52)</f>
        <v>-7280</v>
      </c>
      <c r="K52" s="32">
        <f>SUM(ОФР!AI52:AJ52)</f>
        <v>-5235</v>
      </c>
      <c r="L52" s="32">
        <f t="shared" ref="L52:L58" si="20">SUM(AK52:AL52)</f>
        <v>-5784</v>
      </c>
      <c r="M52" s="32">
        <f t="shared" ref="M52:M58" si="21">SUM(AM52:AN52)</f>
        <v>-7259</v>
      </c>
      <c r="N52" s="32">
        <f>N19</f>
        <v>-7475</v>
      </c>
      <c r="O52" s="32">
        <f>O19</f>
        <v>-8455</v>
      </c>
      <c r="Q52" s="32">
        <v>-1020</v>
      </c>
      <c r="R52" s="32">
        <v>-1308</v>
      </c>
      <c r="S52" s="32">
        <v>-1308</v>
      </c>
      <c r="T52" s="32">
        <v>-1016</v>
      </c>
      <c r="U52" s="32">
        <v>-1195</v>
      </c>
      <c r="V52" s="32">
        <v>-1962</v>
      </c>
      <c r="W52" s="32">
        <v>-1129</v>
      </c>
      <c r="X52" s="32">
        <v>-3049</v>
      </c>
      <c r="Y52" s="32">
        <v>-1387</v>
      </c>
      <c r="Z52" s="32">
        <v>-2961</v>
      </c>
      <c r="AA52" s="32">
        <v>-1770</v>
      </c>
      <c r="AB52" s="84">
        <v>-2684</v>
      </c>
      <c r="AC52" s="32">
        <v>-1957</v>
      </c>
      <c r="AD52" s="32">
        <v>-3095</v>
      </c>
      <c r="AE52" s="32">
        <v>-2221</v>
      </c>
      <c r="AF52" s="32">
        <v>-4701</v>
      </c>
      <c r="AG52" s="32">
        <v>-2327</v>
      </c>
      <c r="AH52" s="32">
        <v>-4953</v>
      </c>
      <c r="AI52" s="32">
        <v>-1958</v>
      </c>
      <c r="AJ52" s="32">
        <v>-3277</v>
      </c>
      <c r="AK52" s="32">
        <f t="shared" ref="AK52:AM53" si="22">AK19</f>
        <v>-2453</v>
      </c>
      <c r="AL52" s="32">
        <f t="shared" si="22"/>
        <v>-3331</v>
      </c>
      <c r="AM52" s="32">
        <f t="shared" si="22"/>
        <v>-2558</v>
      </c>
      <c r="AN52" s="32">
        <v>-4701</v>
      </c>
      <c r="AO52" s="32">
        <f>AO19</f>
        <v>-3243</v>
      </c>
      <c r="AP52" s="32">
        <f t="shared" si="19"/>
        <v>-4232</v>
      </c>
      <c r="AQ52" s="32">
        <f>AQ19</f>
        <v>-3702</v>
      </c>
      <c r="AR52" s="32">
        <f t="shared" ref="AR52:AR58" si="23">O52-AQ52</f>
        <v>-4753</v>
      </c>
      <c r="AS52" s="32">
        <f>-3498</f>
        <v>-3498</v>
      </c>
    </row>
    <row r="53" spans="1:45" x14ac:dyDescent="0.2">
      <c r="A53" s="5" t="s">
        <v>217</v>
      </c>
      <c r="B53" s="32">
        <f>SUM(ОФР!Q53:R53)</f>
        <v>-854</v>
      </c>
      <c r="C53" s="32">
        <f>SUM(ОФР!S53:T53)</f>
        <v>-958</v>
      </c>
      <c r="D53" s="32">
        <f>SUM(ОФР!U53:V53)</f>
        <v>-1023</v>
      </c>
      <c r="E53" s="32">
        <f>SUM(ОФР!W53:X53)</f>
        <v>-1474</v>
      </c>
      <c r="F53" s="32">
        <f>SUM(ОФР!Y53:Z53)</f>
        <v>-1411</v>
      </c>
      <c r="G53" s="32">
        <f>SUM(ОФР!AA53:AB53)</f>
        <v>-1984</v>
      </c>
      <c r="H53" s="32">
        <f>SUM(ОФР!AC53:AD53)</f>
        <v>-2930</v>
      </c>
      <c r="I53" s="32">
        <f>SUM(ОФР!AE53:AF53)</f>
        <v>-3318</v>
      </c>
      <c r="J53" s="32">
        <f>SUM(ОФР!AG53:AH53)</f>
        <v>-4822</v>
      </c>
      <c r="K53" s="32">
        <f>SUM(ОФР!AI53:AJ53)</f>
        <v>-4560</v>
      </c>
      <c r="L53" s="32">
        <f t="shared" si="20"/>
        <v>-4639</v>
      </c>
      <c r="M53" s="32">
        <f t="shared" si="21"/>
        <v>-5001</v>
      </c>
      <c r="N53" s="32">
        <f>N20</f>
        <v>-5158</v>
      </c>
      <c r="O53" s="32">
        <f>O20</f>
        <v>-6188</v>
      </c>
      <c r="Q53" s="32">
        <v>-336</v>
      </c>
      <c r="R53" s="32">
        <v>-518</v>
      </c>
      <c r="S53" s="32">
        <v>-518</v>
      </c>
      <c r="T53" s="32">
        <v>-440</v>
      </c>
      <c r="U53" s="32">
        <v>-389</v>
      </c>
      <c r="V53" s="32">
        <v>-634</v>
      </c>
      <c r="W53" s="32">
        <v>-569</v>
      </c>
      <c r="X53" s="32">
        <v>-905</v>
      </c>
      <c r="Y53" s="32">
        <v>-460</v>
      </c>
      <c r="Z53" s="32">
        <v>-951</v>
      </c>
      <c r="AA53" s="32">
        <v>-563</v>
      </c>
      <c r="AB53" s="84">
        <v>-1421</v>
      </c>
      <c r="AC53" s="32">
        <v>-577</v>
      </c>
      <c r="AD53" s="32">
        <v>-2353</v>
      </c>
      <c r="AE53" s="32">
        <v>-897</v>
      </c>
      <c r="AF53" s="32">
        <v>-2421</v>
      </c>
      <c r="AG53" s="32">
        <v>-792</v>
      </c>
      <c r="AH53" s="32">
        <v>-4030</v>
      </c>
      <c r="AI53" s="32">
        <v>-918</v>
      </c>
      <c r="AJ53" s="32">
        <v>-3642</v>
      </c>
      <c r="AK53" s="32">
        <f t="shared" si="22"/>
        <v>-1964</v>
      </c>
      <c r="AL53" s="32">
        <f t="shared" si="22"/>
        <v>-2675</v>
      </c>
      <c r="AM53" s="32">
        <f t="shared" si="22"/>
        <v>-1980</v>
      </c>
      <c r="AN53" s="32">
        <v>-3021</v>
      </c>
      <c r="AO53" s="32">
        <f>AO20</f>
        <v>-2364</v>
      </c>
      <c r="AP53" s="32">
        <f t="shared" si="19"/>
        <v>-2794</v>
      </c>
      <c r="AQ53" s="32">
        <f>AQ20</f>
        <v>-2965</v>
      </c>
      <c r="AR53" s="32">
        <f t="shared" si="23"/>
        <v>-3223</v>
      </c>
      <c r="AS53" s="32">
        <f>-3784</f>
        <v>-3784</v>
      </c>
    </row>
    <row r="54" spans="1:45" x14ac:dyDescent="0.2">
      <c r="A54" s="5" t="s">
        <v>218</v>
      </c>
      <c r="B54" s="32">
        <f>SUM(ОФР!Q54:R54)</f>
        <v>7671</v>
      </c>
      <c r="C54" s="32">
        <f>SUM(ОФР!S54:T54)</f>
        <v>6118</v>
      </c>
      <c r="D54" s="32">
        <f>SUM(ОФР!U54:V54)</f>
        <v>8188</v>
      </c>
      <c r="E54" s="32">
        <f>SUM(ОФР!W54:X54)</f>
        <v>10144</v>
      </c>
      <c r="F54" s="32">
        <f>SUM(ОФР!Y54:Z54)</f>
        <v>7240</v>
      </c>
      <c r="G54" s="32">
        <f>SUM(ОФР!AA54:AB54)</f>
        <v>5771</v>
      </c>
      <c r="H54" s="32">
        <f>SUM(ОФР!AC54:AD54)</f>
        <v>10019</v>
      </c>
      <c r="I54" s="32">
        <f>SUM(ОФР!AE54:AF54)</f>
        <v>6815</v>
      </c>
      <c r="J54" s="32">
        <f>SUM(ОФР!AG54:AH54)</f>
        <v>7955</v>
      </c>
      <c r="K54" s="32">
        <f>SUM(ОФР!AI54:AJ54)</f>
        <v>12120</v>
      </c>
      <c r="L54" s="32">
        <f t="shared" si="20"/>
        <v>17359</v>
      </c>
      <c r="M54" s="32">
        <f t="shared" si="21"/>
        <v>15943</v>
      </c>
      <c r="N54" s="32">
        <f>N51+N52+N53</f>
        <v>17338</v>
      </c>
      <c r="O54" s="32">
        <f>O51+O52+O53</f>
        <v>26735</v>
      </c>
      <c r="Q54" s="32">
        <v>3303</v>
      </c>
      <c r="R54" s="32">
        <v>4368</v>
      </c>
      <c r="S54" s="32">
        <v>4368</v>
      </c>
      <c r="T54" s="32">
        <v>1750</v>
      </c>
      <c r="U54" s="32">
        <v>2776</v>
      </c>
      <c r="V54" s="32">
        <v>5412</v>
      </c>
      <c r="W54" s="32">
        <v>3342</v>
      </c>
      <c r="X54" s="32">
        <v>6802</v>
      </c>
      <c r="Y54" s="32">
        <v>3724</v>
      </c>
      <c r="Z54" s="32">
        <v>3516</v>
      </c>
      <c r="AA54" s="32">
        <v>4464</v>
      </c>
      <c r="AB54" s="84">
        <v>1307</v>
      </c>
      <c r="AC54" s="32">
        <v>1246</v>
      </c>
      <c r="AD54" s="32">
        <v>8773</v>
      </c>
      <c r="AE54" s="32">
        <v>8898</v>
      </c>
      <c r="AF54" s="32">
        <v>-2083</v>
      </c>
      <c r="AG54" s="32">
        <v>4316</v>
      </c>
      <c r="AH54" s="32">
        <v>3639</v>
      </c>
      <c r="AI54" s="32">
        <v>1181</v>
      </c>
      <c r="AJ54" s="32">
        <v>10939</v>
      </c>
      <c r="AK54" s="32">
        <f>AK51+AK52+AK53</f>
        <v>9381</v>
      </c>
      <c r="AL54" s="32">
        <f>AL51+AL52+AL53</f>
        <v>7978</v>
      </c>
      <c r="AM54" s="32">
        <f>SUM(AM51:AM53)</f>
        <v>5220</v>
      </c>
      <c r="AN54" s="32">
        <v>10723</v>
      </c>
      <c r="AO54" s="32">
        <f>SUM(AO51:AO53)</f>
        <v>5639</v>
      </c>
      <c r="AP54" s="32">
        <f>N54-AO54</f>
        <v>11699</v>
      </c>
      <c r="AQ54" s="32">
        <f>SUM(AQ51:AQ53)</f>
        <v>12901</v>
      </c>
      <c r="AR54" s="32">
        <f>O54-AQ54</f>
        <v>13834</v>
      </c>
      <c r="AS54" s="32">
        <f>SUM(AS51:AS53)</f>
        <v>13605</v>
      </c>
    </row>
    <row r="55" spans="1:45" x14ac:dyDescent="0.2">
      <c r="A55" s="5" t="s">
        <v>219</v>
      </c>
      <c r="B55" s="32">
        <f>SUM(ОФР!Q55:R55)</f>
        <v>265</v>
      </c>
      <c r="C55" s="32">
        <f>SUM(ОФР!S55:T55)</f>
        <v>417</v>
      </c>
      <c r="D55" s="32">
        <f>SUM(ОФР!U55:V55)</f>
        <v>343</v>
      </c>
      <c r="E55" s="32">
        <f>SUM(ОФР!W55:X55)</f>
        <v>417</v>
      </c>
      <c r="F55" s="32">
        <f>SUM(ОФР!Y55:Z55)</f>
        <v>406</v>
      </c>
      <c r="G55" s="32">
        <f>SUM(ОФР!AA55:AB55)</f>
        <v>434</v>
      </c>
      <c r="H55" s="32">
        <f>SUM(ОФР!AC55:AD55)</f>
        <v>340</v>
      </c>
      <c r="I55" s="32">
        <f>SUM(ОФР!AE55:AF55)</f>
        <v>365</v>
      </c>
      <c r="J55" s="32">
        <f>SUM(ОФР!AG55:AH55)</f>
        <v>542</v>
      </c>
      <c r="K55" s="32">
        <f>SUM(ОФР!AI55:AJ55)</f>
        <v>481</v>
      </c>
      <c r="L55" s="32">
        <f t="shared" si="20"/>
        <v>521</v>
      </c>
      <c r="M55" s="32">
        <f t="shared" si="21"/>
        <v>541</v>
      </c>
      <c r="N55" s="32">
        <v>797</v>
      </c>
      <c r="O55" s="32">
        <f>911</f>
        <v>911</v>
      </c>
      <c r="Q55" s="32">
        <v>128</v>
      </c>
      <c r="R55" s="32">
        <v>137</v>
      </c>
      <c r="S55" s="32">
        <v>209</v>
      </c>
      <c r="T55" s="32">
        <v>208</v>
      </c>
      <c r="U55" s="32">
        <v>168</v>
      </c>
      <c r="V55" s="32">
        <v>175</v>
      </c>
      <c r="W55" s="32">
        <v>204</v>
      </c>
      <c r="X55" s="32">
        <v>213</v>
      </c>
      <c r="Y55" s="32">
        <v>213</v>
      </c>
      <c r="Z55" s="32">
        <v>193</v>
      </c>
      <c r="AA55" s="32">
        <v>240</v>
      </c>
      <c r="AB55" s="84">
        <v>194</v>
      </c>
      <c r="AC55" s="32">
        <v>172</v>
      </c>
      <c r="AD55" s="32">
        <v>168</v>
      </c>
      <c r="AE55" s="32">
        <v>169</v>
      </c>
      <c r="AF55" s="32">
        <v>196</v>
      </c>
      <c r="AG55" s="32">
        <v>270</v>
      </c>
      <c r="AH55" s="32">
        <v>272</v>
      </c>
      <c r="AI55" s="32">
        <v>385</v>
      </c>
      <c r="AJ55" s="32">
        <v>96</v>
      </c>
      <c r="AK55" s="32">
        <f>ОДДС!AK10</f>
        <v>233</v>
      </c>
      <c r="AL55" s="32">
        <v>288</v>
      </c>
      <c r="AM55" s="32">
        <v>273</v>
      </c>
      <c r="AN55" s="32">
        <v>268</v>
      </c>
      <c r="AO55" s="32">
        <f>403</f>
        <v>403</v>
      </c>
      <c r="AP55" s="32">
        <f>N55-AO55</f>
        <v>394</v>
      </c>
      <c r="AQ55" s="32">
        <f>450</f>
        <v>450</v>
      </c>
      <c r="AR55" s="32">
        <f t="shared" si="23"/>
        <v>461</v>
      </c>
      <c r="AS55" s="32">
        <f>459</f>
        <v>459</v>
      </c>
    </row>
    <row r="56" spans="1:45" x14ac:dyDescent="0.2">
      <c r="A56" s="31" t="s">
        <v>1</v>
      </c>
      <c r="B56" s="59">
        <f>SUM(ОФР!Q56:R56)</f>
        <v>7936</v>
      </c>
      <c r="C56" s="59">
        <f>SUM(ОФР!S56:T56)</f>
        <v>6535</v>
      </c>
      <c r="D56" s="59">
        <f>SUM(ОФР!U56:V56)</f>
        <v>8531</v>
      </c>
      <c r="E56" s="59">
        <f>SUM(ОФР!W56:X56)</f>
        <v>10561</v>
      </c>
      <c r="F56" s="59">
        <f>SUM(ОФР!Y56:Z56)</f>
        <v>7646</v>
      </c>
      <c r="G56" s="59">
        <f>SUM(ОФР!AA56:AB56)</f>
        <v>6205</v>
      </c>
      <c r="H56" s="59">
        <f>SUM(ОФР!AC56:AD56)</f>
        <v>10359</v>
      </c>
      <c r="I56" s="59">
        <f>SUM(ОФР!AE56:AF56)</f>
        <v>7180</v>
      </c>
      <c r="J56" s="59">
        <f>SUM(ОФР!AG56:AH56)</f>
        <v>8497</v>
      </c>
      <c r="K56" s="59">
        <f>SUM(ОФР!AI56:AJ56)</f>
        <v>12601</v>
      </c>
      <c r="L56" s="59">
        <f t="shared" si="20"/>
        <v>17880</v>
      </c>
      <c r="M56" s="59">
        <f t="shared" si="21"/>
        <v>16484</v>
      </c>
      <c r="N56" s="59">
        <f>N54+N55</f>
        <v>18135</v>
      </c>
      <c r="O56" s="59">
        <f>O54+O55</f>
        <v>27646</v>
      </c>
      <c r="Q56" s="59">
        <v>3431</v>
      </c>
      <c r="R56" s="59">
        <v>4505</v>
      </c>
      <c r="S56" s="59">
        <v>4577</v>
      </c>
      <c r="T56" s="59">
        <v>1958</v>
      </c>
      <c r="U56" s="59">
        <v>2944</v>
      </c>
      <c r="V56" s="59">
        <v>5587</v>
      </c>
      <c r="W56" s="59">
        <v>3546</v>
      </c>
      <c r="X56" s="59">
        <v>7015</v>
      </c>
      <c r="Y56" s="59">
        <v>3937</v>
      </c>
      <c r="Z56" s="59">
        <v>3709</v>
      </c>
      <c r="AA56" s="59">
        <v>4704</v>
      </c>
      <c r="AB56" s="85">
        <v>1501</v>
      </c>
      <c r="AC56" s="59">
        <v>1418</v>
      </c>
      <c r="AD56" s="59">
        <v>8941</v>
      </c>
      <c r="AE56" s="59">
        <v>9067</v>
      </c>
      <c r="AF56" s="59">
        <v>-1887</v>
      </c>
      <c r="AG56" s="59">
        <v>4586</v>
      </c>
      <c r="AH56" s="59">
        <v>3911</v>
      </c>
      <c r="AI56" s="59">
        <v>1566</v>
      </c>
      <c r="AJ56" s="59">
        <v>11035</v>
      </c>
      <c r="AK56" s="77">
        <f>AK54+AK55</f>
        <v>9614</v>
      </c>
      <c r="AL56" s="77">
        <f>AL54+AL55</f>
        <v>8266</v>
      </c>
      <c r="AM56" s="77">
        <f>SUM(AM54:AM55)</f>
        <v>5493</v>
      </c>
      <c r="AN56" s="77">
        <v>10991</v>
      </c>
      <c r="AO56" s="77">
        <f>SUM(AO54:AO55)</f>
        <v>6042</v>
      </c>
      <c r="AP56" s="77">
        <f t="shared" si="19"/>
        <v>12093</v>
      </c>
      <c r="AQ56" s="77">
        <f>SUM(AQ54:AQ55)</f>
        <v>13351</v>
      </c>
      <c r="AR56" s="77">
        <f t="shared" si="23"/>
        <v>14295</v>
      </c>
      <c r="AS56" s="77">
        <f>SUM(AS54:AS55)</f>
        <v>14064</v>
      </c>
    </row>
    <row r="57" spans="1:45" x14ac:dyDescent="0.2">
      <c r="A57" s="5" t="s">
        <v>220</v>
      </c>
      <c r="B57" s="32">
        <f>SUM(ОФР!Q57:R57)</f>
        <v>0</v>
      </c>
      <c r="C57" s="32">
        <f>SUM(ОФР!S57:T57)</f>
        <v>0</v>
      </c>
      <c r="D57" s="32">
        <f>SUM(ОФР!U57:V57)</f>
        <v>0</v>
      </c>
      <c r="E57" s="32">
        <f>SUM(ОФР!W57:X57)</f>
        <v>0</v>
      </c>
      <c r="F57" s="32">
        <f>SUM(ОФР!Y57:Z57)</f>
        <v>0</v>
      </c>
      <c r="G57" s="32">
        <f>SUM(ОФР!AA57:AB57)</f>
        <v>0</v>
      </c>
      <c r="H57" s="32">
        <f>SUM(ОФР!AC57:AD57)</f>
        <v>0</v>
      </c>
      <c r="I57" s="32">
        <f>SUM(ОФР!AE57:AF57)</f>
        <v>0</v>
      </c>
      <c r="J57" s="32">
        <f>SUM(ОФР!AG57:AH57)</f>
        <v>2678</v>
      </c>
      <c r="K57" s="32">
        <f>SUM(ОФР!AI57:AJ57)</f>
        <v>3881</v>
      </c>
      <c r="L57" s="32">
        <f t="shared" si="20"/>
        <v>3259</v>
      </c>
      <c r="M57" s="32">
        <f t="shared" si="21"/>
        <v>2311</v>
      </c>
      <c r="N57" s="32">
        <v>1290</v>
      </c>
      <c r="O57" s="32">
        <f>1047</f>
        <v>1047</v>
      </c>
      <c r="Q57" s="32">
        <v>0</v>
      </c>
      <c r="R57" s="32">
        <v>0</v>
      </c>
      <c r="S57" s="32">
        <v>0</v>
      </c>
      <c r="T57" s="32">
        <v>0</v>
      </c>
      <c r="U57" s="32">
        <v>0</v>
      </c>
      <c r="V57" s="32">
        <v>0</v>
      </c>
      <c r="W57" s="32">
        <v>0</v>
      </c>
      <c r="X57" s="32">
        <v>0</v>
      </c>
      <c r="Y57" s="32">
        <v>0</v>
      </c>
      <c r="Z57" s="32">
        <v>0</v>
      </c>
      <c r="AA57" s="32">
        <v>0</v>
      </c>
      <c r="AB57" s="32">
        <v>0</v>
      </c>
      <c r="AC57" s="32">
        <v>0</v>
      </c>
      <c r="AD57" s="32">
        <v>0</v>
      </c>
      <c r="AE57" s="32">
        <v>0</v>
      </c>
      <c r="AF57" s="32">
        <v>0</v>
      </c>
      <c r="AG57" s="32">
        <v>1014</v>
      </c>
      <c r="AH57" s="32">
        <v>1664</v>
      </c>
      <c r="AI57" s="32">
        <v>1412</v>
      </c>
      <c r="AJ57" s="32">
        <v>2469</v>
      </c>
      <c r="AK57" s="86">
        <v>1522</v>
      </c>
      <c r="AL57" s="86">
        <v>1737</v>
      </c>
      <c r="AM57" s="86">
        <v>751</v>
      </c>
      <c r="AN57" s="86">
        <v>1560</v>
      </c>
      <c r="AO57" s="86">
        <v>646</v>
      </c>
      <c r="AP57" s="86">
        <f t="shared" si="19"/>
        <v>644</v>
      </c>
      <c r="AQ57" s="86">
        <f>631</f>
        <v>631</v>
      </c>
      <c r="AR57" s="86">
        <f t="shared" si="23"/>
        <v>416</v>
      </c>
      <c r="AS57" s="86">
        <f>316</f>
        <v>316</v>
      </c>
    </row>
    <row r="58" spans="1:45" x14ac:dyDescent="0.2">
      <c r="A58" s="31" t="s">
        <v>221</v>
      </c>
      <c r="B58" s="59">
        <f>SUM(ОФР!Q58:R58)</f>
        <v>7936</v>
      </c>
      <c r="C58" s="59">
        <f>SUM(ОФР!S58:T58)</f>
        <v>6535</v>
      </c>
      <c r="D58" s="59">
        <f>SUM(ОФР!U58:V58)</f>
        <v>8531</v>
      </c>
      <c r="E58" s="59">
        <f>SUM(ОФР!W58:X58)</f>
        <v>10561</v>
      </c>
      <c r="F58" s="59">
        <f>SUM(ОФР!Y58:Z58)</f>
        <v>7646</v>
      </c>
      <c r="G58" s="59">
        <f>SUM(ОФР!AA58:AB58)</f>
        <v>6205</v>
      </c>
      <c r="H58" s="59">
        <f>SUM(ОФР!AC58:AD58)</f>
        <v>10359</v>
      </c>
      <c r="I58" s="59">
        <f>SUM(ОФР!AE58:AF58)</f>
        <v>7180</v>
      </c>
      <c r="J58" s="59">
        <f>SUM(ОФР!AG58:AH58)</f>
        <v>11175</v>
      </c>
      <c r="K58" s="59">
        <f>SUM(ОФР!AI58:AJ58)</f>
        <v>16482</v>
      </c>
      <c r="L58" s="59">
        <f t="shared" si="20"/>
        <v>21139</v>
      </c>
      <c r="M58" s="59">
        <f t="shared" si="21"/>
        <v>18795</v>
      </c>
      <c r="N58" s="59">
        <f>N56+N57</f>
        <v>19425</v>
      </c>
      <c r="O58" s="59">
        <f>O56+O57</f>
        <v>28693</v>
      </c>
      <c r="Q58" s="59">
        <v>3431</v>
      </c>
      <c r="R58" s="59">
        <v>4505</v>
      </c>
      <c r="S58" s="59">
        <v>4577</v>
      </c>
      <c r="T58" s="59">
        <v>1958</v>
      </c>
      <c r="U58" s="59">
        <v>2944</v>
      </c>
      <c r="V58" s="59">
        <v>5587</v>
      </c>
      <c r="W58" s="59">
        <v>3546</v>
      </c>
      <c r="X58" s="59">
        <v>7015</v>
      </c>
      <c r="Y58" s="59">
        <v>3937</v>
      </c>
      <c r="Z58" s="59">
        <v>3709</v>
      </c>
      <c r="AA58" s="59">
        <v>4704</v>
      </c>
      <c r="AB58" s="85">
        <v>1501</v>
      </c>
      <c r="AC58" s="59">
        <v>1418</v>
      </c>
      <c r="AD58" s="59">
        <v>8941</v>
      </c>
      <c r="AE58" s="59">
        <v>9067</v>
      </c>
      <c r="AF58" s="59">
        <v>-1887</v>
      </c>
      <c r="AG58" s="59">
        <v>5600</v>
      </c>
      <c r="AH58" s="59">
        <v>5575</v>
      </c>
      <c r="AI58" s="59">
        <v>2978</v>
      </c>
      <c r="AJ58" s="59">
        <v>13504</v>
      </c>
      <c r="AK58" s="77">
        <v>11136</v>
      </c>
      <c r="AL58" s="77">
        <v>10003</v>
      </c>
      <c r="AM58" s="77">
        <f>SUM(AM56:AM57)</f>
        <v>6244</v>
      </c>
      <c r="AN58" s="77">
        <v>12551</v>
      </c>
      <c r="AO58" s="77">
        <f>SUM(AO56:AO57)</f>
        <v>6688</v>
      </c>
      <c r="AP58" s="77">
        <f t="shared" si="19"/>
        <v>12737</v>
      </c>
      <c r="AQ58" s="77">
        <f>SUM(AQ56:AQ57)</f>
        <v>13982</v>
      </c>
      <c r="AR58" s="77">
        <f t="shared" si="23"/>
        <v>14711</v>
      </c>
      <c r="AS58" s="77">
        <f>SUM(AS56:AS57)</f>
        <v>14380</v>
      </c>
    </row>
  </sheetData>
  <phoneticPr fontId="32" type="noConversion"/>
  <hyperlinks>
    <hyperlink ref="A3" location="Содержание!A1" display="К содержанию" xr:uid="{7F1490DE-722E-459F-8596-3C70C88FDE29}"/>
    <hyperlink ref="A48" location="Содержание!A1" display="К содержанию" xr:uid="{44A1BB31-CDE3-4957-A349-81F144693DFB}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41753F-973C-41E8-BA4C-D893BF02EE4B}">
  <dimension ref="A2:AD68"/>
  <sheetViews>
    <sheetView showGridLines="0" zoomScaleNormal="100" workbookViewId="0">
      <pane xSplit="1" topLeftCell="U1" activePane="topRight" state="frozen"/>
      <selection pane="topRight" activeCell="AG28" sqref="AG28"/>
    </sheetView>
  </sheetViews>
  <sheetFormatPr defaultColWidth="9.140625" defaultRowHeight="14.25" x14ac:dyDescent="0.2"/>
  <cols>
    <col min="1" max="1" width="71.140625" style="38" bestFit="1" customWidth="1"/>
    <col min="2" max="23" width="10.140625" style="5" bestFit="1" customWidth="1"/>
    <col min="24" max="24" width="10.7109375" style="5" bestFit="1" customWidth="1"/>
    <col min="25" max="25" width="10.140625" style="5" bestFit="1" customWidth="1"/>
    <col min="26" max="27" width="10.7109375" style="5" bestFit="1" customWidth="1"/>
    <col min="28" max="28" width="10.7109375" style="38" bestFit="1" customWidth="1"/>
    <col min="29" max="30" width="10.140625" style="38" bestFit="1" customWidth="1"/>
    <col min="31" max="16384" width="9.140625" style="38"/>
  </cols>
  <sheetData>
    <row r="2" spans="1:30" ht="18" x14ac:dyDescent="0.25">
      <c r="A2" s="51" t="s">
        <v>162</v>
      </c>
    </row>
    <row r="3" spans="1:30" ht="15" x14ac:dyDescent="0.25">
      <c r="A3" s="164" t="s">
        <v>44</v>
      </c>
    </row>
    <row r="5" spans="1:30" x14ac:dyDescent="0.2">
      <c r="A5" s="33" t="s">
        <v>163</v>
      </c>
      <c r="B5" s="90">
        <v>40724</v>
      </c>
      <c r="C5" s="90">
        <v>40908</v>
      </c>
      <c r="D5" s="90">
        <v>41090</v>
      </c>
      <c r="E5" s="90">
        <v>41274</v>
      </c>
      <c r="F5" s="90">
        <v>41455</v>
      </c>
      <c r="G5" s="90">
        <v>41639</v>
      </c>
      <c r="H5" s="90">
        <v>41820</v>
      </c>
      <c r="I5" s="90">
        <v>42004</v>
      </c>
      <c r="J5" s="90">
        <v>42185</v>
      </c>
      <c r="K5" s="90">
        <v>42369</v>
      </c>
      <c r="L5" s="90">
        <v>42551</v>
      </c>
      <c r="M5" s="90">
        <v>42735</v>
      </c>
      <c r="N5" s="90">
        <v>42916</v>
      </c>
      <c r="O5" s="90">
        <v>43100</v>
      </c>
      <c r="P5" s="90">
        <v>43281</v>
      </c>
      <c r="Q5" s="90">
        <v>43465</v>
      </c>
      <c r="R5" s="90">
        <v>43646</v>
      </c>
      <c r="S5" s="90">
        <v>43830</v>
      </c>
      <c r="T5" s="90">
        <v>44012</v>
      </c>
      <c r="U5" s="90">
        <v>44196</v>
      </c>
      <c r="V5" s="91">
        <v>44377</v>
      </c>
      <c r="W5" s="90">
        <v>44561</v>
      </c>
      <c r="X5" s="90" t="s">
        <v>12</v>
      </c>
      <c r="Y5" s="90">
        <v>44926</v>
      </c>
      <c r="Z5" s="90" t="s">
        <v>29</v>
      </c>
      <c r="AA5" s="90" t="s">
        <v>30</v>
      </c>
      <c r="AB5" s="90" t="s">
        <v>397</v>
      </c>
      <c r="AC5" s="90">
        <v>45657</v>
      </c>
      <c r="AD5" s="90">
        <v>45838</v>
      </c>
    </row>
    <row r="6" spans="1:30" x14ac:dyDescent="0.2">
      <c r="A6" s="30" t="s">
        <v>164</v>
      </c>
    </row>
    <row r="7" spans="1:30" x14ac:dyDescent="0.2">
      <c r="A7" s="41" t="s">
        <v>165</v>
      </c>
    </row>
    <row r="8" spans="1:30" x14ac:dyDescent="0.2">
      <c r="A8" s="5" t="s">
        <v>166</v>
      </c>
      <c r="B8" s="32">
        <v>1696</v>
      </c>
      <c r="C8" s="32">
        <v>2009</v>
      </c>
      <c r="D8" s="32">
        <v>2152</v>
      </c>
      <c r="E8" s="32">
        <v>2380</v>
      </c>
      <c r="F8" s="32">
        <v>1853</v>
      </c>
      <c r="G8" s="32">
        <v>1962</v>
      </c>
      <c r="H8" s="32">
        <v>2326</v>
      </c>
      <c r="I8" s="32">
        <v>2503</v>
      </c>
      <c r="J8" s="32">
        <v>2349</v>
      </c>
      <c r="K8" s="32">
        <v>2479</v>
      </c>
      <c r="L8" s="32">
        <v>2433</v>
      </c>
      <c r="M8" s="32">
        <v>2889</v>
      </c>
      <c r="N8" s="32">
        <v>2927</v>
      </c>
      <c r="O8" s="32">
        <v>3085</v>
      </c>
      <c r="P8" s="32">
        <v>3162</v>
      </c>
      <c r="Q8" s="32">
        <v>3195</v>
      </c>
      <c r="R8" s="32">
        <v>3637</v>
      </c>
      <c r="S8" s="32">
        <v>3561</v>
      </c>
      <c r="T8" s="32">
        <v>3431</v>
      </c>
      <c r="U8" s="32">
        <v>3508</v>
      </c>
      <c r="V8" s="32">
        <v>3334</v>
      </c>
      <c r="W8" s="5">
        <v>4050</v>
      </c>
      <c r="X8" s="32">
        <v>4494</v>
      </c>
      <c r="Y8" s="32">
        <v>4531</v>
      </c>
      <c r="Z8" s="32">
        <v>4983</v>
      </c>
      <c r="AA8" s="32">
        <v>6184</v>
      </c>
      <c r="AB8" s="32">
        <f>6743</f>
        <v>6743</v>
      </c>
      <c r="AC8" s="32">
        <f>7259</f>
        <v>7259</v>
      </c>
      <c r="AD8" s="32">
        <f>7448</f>
        <v>7448</v>
      </c>
    </row>
    <row r="9" spans="1:30" x14ac:dyDescent="0.2">
      <c r="A9" s="5" t="s">
        <v>167</v>
      </c>
      <c r="B9" s="32"/>
      <c r="C9" s="32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X9" s="32">
        <v>194</v>
      </c>
      <c r="Y9" s="32">
        <v>2652</v>
      </c>
      <c r="Z9" s="32">
        <v>2645</v>
      </c>
      <c r="AA9" s="32">
        <v>2956</v>
      </c>
      <c r="AB9" s="32">
        <f>6599</f>
        <v>6599</v>
      </c>
      <c r="AC9" s="32">
        <f>6714</f>
        <v>6714</v>
      </c>
      <c r="AD9" s="32">
        <f>8589</f>
        <v>8589</v>
      </c>
    </row>
    <row r="10" spans="1:30" x14ac:dyDescent="0.2">
      <c r="A10" s="5" t="s">
        <v>168</v>
      </c>
      <c r="B10" s="32"/>
      <c r="C10" s="32">
        <v>0</v>
      </c>
      <c r="D10" s="32">
        <v>0</v>
      </c>
      <c r="E10" s="32">
        <v>0</v>
      </c>
      <c r="F10" s="32">
        <v>638</v>
      </c>
      <c r="G10" s="32">
        <v>1142</v>
      </c>
      <c r="H10" s="32">
        <v>1052</v>
      </c>
      <c r="I10" s="32">
        <v>808</v>
      </c>
      <c r="J10" s="32">
        <v>618</v>
      </c>
      <c r="K10" s="32">
        <v>538</v>
      </c>
      <c r="L10" s="32">
        <v>482</v>
      </c>
      <c r="M10" s="32">
        <v>561</v>
      </c>
      <c r="N10" s="32">
        <v>354</v>
      </c>
      <c r="O10" s="32">
        <v>333</v>
      </c>
      <c r="P10" s="32">
        <v>316</v>
      </c>
      <c r="Q10" s="32">
        <v>306</v>
      </c>
      <c r="R10" s="32">
        <v>1123</v>
      </c>
      <c r="S10" s="32">
        <v>1065</v>
      </c>
      <c r="T10" s="32">
        <v>853</v>
      </c>
      <c r="U10" s="32">
        <v>691</v>
      </c>
      <c r="V10" s="32">
        <v>568</v>
      </c>
      <c r="W10" s="5">
        <v>416</v>
      </c>
      <c r="X10" s="32">
        <v>405</v>
      </c>
      <c r="Y10" s="32">
        <v>396</v>
      </c>
      <c r="Z10" s="32">
        <v>347</v>
      </c>
      <c r="AA10" s="32">
        <v>344</v>
      </c>
      <c r="AB10" s="32">
        <f>311</f>
        <v>311</v>
      </c>
      <c r="AC10" s="32">
        <f>154</f>
        <v>154</v>
      </c>
      <c r="AD10" s="32">
        <f>160</f>
        <v>160</v>
      </c>
    </row>
    <row r="11" spans="1:30" x14ac:dyDescent="0.2">
      <c r="A11" s="5" t="s">
        <v>169</v>
      </c>
      <c r="B11" s="32">
        <v>102</v>
      </c>
      <c r="C11" s="32">
        <v>88</v>
      </c>
      <c r="D11" s="32">
        <v>48</v>
      </c>
      <c r="E11" s="32">
        <v>60</v>
      </c>
      <c r="F11" s="32">
        <v>241</v>
      </c>
      <c r="G11" s="32">
        <v>275</v>
      </c>
      <c r="H11" s="32">
        <v>684</v>
      </c>
      <c r="I11" s="32">
        <v>1036</v>
      </c>
      <c r="J11" s="32">
        <v>684</v>
      </c>
      <c r="K11" s="32">
        <v>578</v>
      </c>
      <c r="L11" s="32">
        <v>556</v>
      </c>
      <c r="M11" s="32">
        <v>545</v>
      </c>
      <c r="N11" s="32">
        <v>630</v>
      </c>
      <c r="O11" s="32">
        <v>739</v>
      </c>
      <c r="P11" s="32">
        <v>722</v>
      </c>
      <c r="Q11" s="32">
        <v>758</v>
      </c>
      <c r="R11" s="32">
        <v>762</v>
      </c>
      <c r="S11" s="32">
        <v>190</v>
      </c>
      <c r="T11" s="32">
        <v>71</v>
      </c>
      <c r="U11" s="32">
        <v>424</v>
      </c>
      <c r="V11" s="32">
        <v>378</v>
      </c>
      <c r="W11" s="5">
        <v>1489</v>
      </c>
      <c r="X11" s="32">
        <v>795</v>
      </c>
      <c r="Y11" s="32">
        <v>583</v>
      </c>
      <c r="Z11" s="32">
        <v>592</v>
      </c>
      <c r="AA11" s="32">
        <v>13427</v>
      </c>
      <c r="AB11" s="32">
        <f>12393</f>
        <v>12393</v>
      </c>
      <c r="AC11" s="32">
        <f>7069</f>
        <v>7069</v>
      </c>
      <c r="AD11" s="32">
        <f>5581</f>
        <v>5581</v>
      </c>
    </row>
    <row r="12" spans="1:30" x14ac:dyDescent="0.2">
      <c r="A12" s="5" t="s">
        <v>170</v>
      </c>
      <c r="B12" s="32">
        <v>815</v>
      </c>
      <c r="C12" s="32">
        <v>551</v>
      </c>
      <c r="D12" s="32">
        <v>472</v>
      </c>
      <c r="E12" s="32">
        <v>433</v>
      </c>
      <c r="F12" s="32">
        <v>390</v>
      </c>
      <c r="G12" s="32">
        <v>1332</v>
      </c>
      <c r="H12" s="32">
        <v>756</v>
      </c>
      <c r="I12" s="32">
        <v>2521</v>
      </c>
      <c r="J12" s="32">
        <v>2164</v>
      </c>
      <c r="K12" s="32">
        <v>3303</v>
      </c>
      <c r="L12" s="32">
        <v>3801</v>
      </c>
      <c r="M12" s="32">
        <v>5063</v>
      </c>
      <c r="N12" s="32">
        <v>5633</v>
      </c>
      <c r="O12" s="32">
        <v>5867</v>
      </c>
      <c r="P12" s="32">
        <v>6539</v>
      </c>
      <c r="Q12" s="32">
        <v>5777</v>
      </c>
      <c r="R12" s="32">
        <v>5586</v>
      </c>
      <c r="S12" s="32">
        <v>4692</v>
      </c>
      <c r="T12" s="32">
        <v>4442</v>
      </c>
      <c r="U12" s="32">
        <v>4253</v>
      </c>
      <c r="V12" s="32">
        <v>3554</v>
      </c>
      <c r="W12" s="5">
        <v>3345</v>
      </c>
      <c r="X12" s="32">
        <v>2847</v>
      </c>
      <c r="Y12" s="32">
        <v>1569</v>
      </c>
      <c r="Z12" s="32">
        <v>882</v>
      </c>
      <c r="AA12" s="32">
        <v>1446</v>
      </c>
      <c r="AB12" s="32">
        <f>1738</f>
        <v>1738</v>
      </c>
      <c r="AC12" s="32">
        <f>3090</f>
        <v>3090</v>
      </c>
      <c r="AD12" s="32">
        <f>4668</f>
        <v>4668</v>
      </c>
    </row>
    <row r="13" spans="1:30" x14ac:dyDescent="0.2">
      <c r="A13" s="5" t="s">
        <v>171</v>
      </c>
      <c r="B13" s="32">
        <v>440</v>
      </c>
      <c r="C13" s="32">
        <v>679</v>
      </c>
      <c r="D13" s="32">
        <v>536</v>
      </c>
      <c r="E13" s="32">
        <v>434</v>
      </c>
      <c r="F13" s="32">
        <v>433</v>
      </c>
      <c r="G13" s="32">
        <v>560</v>
      </c>
      <c r="H13" s="32">
        <v>710</v>
      </c>
      <c r="I13" s="32">
        <v>885</v>
      </c>
      <c r="J13" s="32">
        <v>1040</v>
      </c>
      <c r="K13" s="32">
        <v>1159</v>
      </c>
      <c r="L13" s="32">
        <v>1412</v>
      </c>
      <c r="M13" s="32">
        <v>1414</v>
      </c>
      <c r="N13" s="32">
        <v>1617</v>
      </c>
      <c r="O13" s="32">
        <v>2173</v>
      </c>
      <c r="P13" s="32">
        <v>2731</v>
      </c>
      <c r="Q13" s="32">
        <v>2806</v>
      </c>
      <c r="R13" s="32">
        <v>3297</v>
      </c>
      <c r="S13" s="32">
        <v>3921</v>
      </c>
      <c r="T13" s="32">
        <v>5221</v>
      </c>
      <c r="U13" s="32">
        <v>6692</v>
      </c>
      <c r="V13" s="32">
        <v>7705</v>
      </c>
      <c r="W13" s="5">
        <v>7347</v>
      </c>
      <c r="X13" s="32">
        <v>9548</v>
      </c>
      <c r="Y13" s="32">
        <v>11373</v>
      </c>
      <c r="Z13" s="32">
        <v>11751</v>
      </c>
      <c r="AA13" s="32">
        <v>11298</v>
      </c>
      <c r="AB13" s="32">
        <f>13138</f>
        <v>13138</v>
      </c>
      <c r="AC13" s="32">
        <f>17670</f>
        <v>17670</v>
      </c>
      <c r="AD13" s="32">
        <f>22737</f>
        <v>22737</v>
      </c>
    </row>
    <row r="14" spans="1:30" x14ac:dyDescent="0.2">
      <c r="A14" s="5" t="s">
        <v>172</v>
      </c>
      <c r="B14" s="32">
        <v>5</v>
      </c>
      <c r="C14" s="32">
        <v>92</v>
      </c>
      <c r="D14" s="32">
        <v>10</v>
      </c>
      <c r="E14" s="32">
        <v>11</v>
      </c>
      <c r="F14" s="32">
        <v>10</v>
      </c>
      <c r="G14" s="32">
        <v>10</v>
      </c>
      <c r="H14" s="32">
        <v>10</v>
      </c>
      <c r="I14" s="32">
        <v>10</v>
      </c>
      <c r="J14" s="32">
        <v>10</v>
      </c>
      <c r="K14" s="32">
        <v>5</v>
      </c>
      <c r="L14" s="32">
        <v>2</v>
      </c>
      <c r="M14" s="32">
        <v>0</v>
      </c>
      <c r="N14" s="32"/>
      <c r="O14" s="32">
        <v>0</v>
      </c>
      <c r="P14" s="32"/>
      <c r="Q14" s="32">
        <v>0</v>
      </c>
      <c r="R14" s="32"/>
      <c r="S14" s="32">
        <v>0</v>
      </c>
      <c r="T14" s="32"/>
      <c r="U14" s="32">
        <v>0</v>
      </c>
      <c r="W14" s="32">
        <v>0</v>
      </c>
      <c r="X14" s="32">
        <v>0</v>
      </c>
      <c r="Y14" s="32"/>
      <c r="Z14" s="32">
        <v>0</v>
      </c>
      <c r="AA14" s="32">
        <v>0</v>
      </c>
      <c r="AB14" s="32">
        <f>0</f>
        <v>0</v>
      </c>
      <c r="AC14" s="32">
        <f>0</f>
        <v>0</v>
      </c>
      <c r="AD14" s="32">
        <f>0</f>
        <v>0</v>
      </c>
    </row>
    <row r="15" spans="1:30" x14ac:dyDescent="0.2">
      <c r="A15" s="34" t="s">
        <v>173</v>
      </c>
      <c r="B15" s="75">
        <v>3058</v>
      </c>
      <c r="C15" s="75">
        <v>3419</v>
      </c>
      <c r="D15" s="75">
        <v>3218</v>
      </c>
      <c r="E15" s="75">
        <v>3318</v>
      </c>
      <c r="F15" s="75">
        <v>3565</v>
      </c>
      <c r="G15" s="75">
        <v>5281</v>
      </c>
      <c r="H15" s="75">
        <v>5538</v>
      </c>
      <c r="I15" s="75">
        <v>7763</v>
      </c>
      <c r="J15" s="75">
        <v>6865</v>
      </c>
      <c r="K15" s="75">
        <v>8062</v>
      </c>
      <c r="L15" s="75">
        <v>8686</v>
      </c>
      <c r="M15" s="75">
        <v>10472</v>
      </c>
      <c r="N15" s="75">
        <v>11161</v>
      </c>
      <c r="O15" s="75">
        <v>12197</v>
      </c>
      <c r="P15" s="75">
        <v>13470</v>
      </c>
      <c r="Q15" s="75">
        <v>12842</v>
      </c>
      <c r="R15" s="75">
        <v>14405</v>
      </c>
      <c r="S15" s="75">
        <v>13429</v>
      </c>
      <c r="T15" s="75">
        <v>14018</v>
      </c>
      <c r="U15" s="75">
        <v>15568</v>
      </c>
      <c r="V15" s="75">
        <v>15539</v>
      </c>
      <c r="W15" s="37">
        <v>16647</v>
      </c>
      <c r="X15" s="75">
        <f>SUM(X8:X14)</f>
        <v>18283</v>
      </c>
      <c r="Y15" s="75">
        <v>21104</v>
      </c>
      <c r="Z15" s="75">
        <f>SUM(Z8:Z14)</f>
        <v>21200</v>
      </c>
      <c r="AA15" s="75">
        <f>SUM(AA8:AA14)</f>
        <v>35655</v>
      </c>
      <c r="AB15" s="75">
        <f>SUM(AB8:AB14)</f>
        <v>40922</v>
      </c>
      <c r="AC15" s="75">
        <f>SUM(AC8:AC14)</f>
        <v>41956</v>
      </c>
      <c r="AD15" s="75">
        <f>SUM(AD8:AD14)</f>
        <v>49183</v>
      </c>
    </row>
    <row r="16" spans="1:30" x14ac:dyDescent="0.2">
      <c r="A16" s="34"/>
      <c r="B16" s="32"/>
      <c r="C16" s="32"/>
      <c r="D16" s="32"/>
      <c r="E16" s="32"/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AB16" s="5"/>
      <c r="AC16" s="5"/>
      <c r="AD16" s="5"/>
    </row>
    <row r="17" spans="1:30" x14ac:dyDescent="0.2">
      <c r="A17" s="41" t="s">
        <v>174</v>
      </c>
      <c r="B17" s="32"/>
      <c r="C17" s="32"/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AB17" s="5"/>
      <c r="AC17" s="5"/>
      <c r="AD17" s="5"/>
    </row>
    <row r="18" spans="1:30" x14ac:dyDescent="0.2">
      <c r="A18" s="37" t="s">
        <v>175</v>
      </c>
      <c r="B18" s="75">
        <v>27867</v>
      </c>
      <c r="C18" s="75">
        <v>32047</v>
      </c>
      <c r="D18" s="75">
        <v>34613</v>
      </c>
      <c r="E18" s="75">
        <v>41522</v>
      </c>
      <c r="F18" s="75">
        <v>44056</v>
      </c>
      <c r="G18" s="75">
        <v>50057</v>
      </c>
      <c r="H18" s="75">
        <v>57132</v>
      </c>
      <c r="I18" s="75">
        <v>57525</v>
      </c>
      <c r="J18" s="75">
        <v>61131</v>
      </c>
      <c r="K18" s="75">
        <v>67722</v>
      </c>
      <c r="L18" s="75">
        <v>69237</v>
      </c>
      <c r="M18" s="75">
        <v>71261</v>
      </c>
      <c r="N18" s="75">
        <v>77924</v>
      </c>
      <c r="O18" s="75">
        <v>78122</v>
      </c>
      <c r="P18" s="75">
        <v>81863</v>
      </c>
      <c r="Q18" s="75">
        <v>67694</v>
      </c>
      <c r="R18" s="75">
        <v>106579</v>
      </c>
      <c r="S18" s="75">
        <v>100689</v>
      </c>
      <c r="T18" s="75">
        <v>97357</v>
      </c>
      <c r="U18" s="75">
        <v>115445</v>
      </c>
      <c r="V18" s="75">
        <f>SUM(V19:V22)</f>
        <v>110489</v>
      </c>
      <c r="W18" s="75">
        <v>110153</v>
      </c>
      <c r="X18" s="75">
        <f>SUM(X19:X22)</f>
        <v>134107</v>
      </c>
      <c r="Y18" s="75">
        <v>142519</v>
      </c>
      <c r="Z18" s="75">
        <f>SUM(Z19:Z22)</f>
        <v>153875</v>
      </c>
      <c r="AA18" s="75">
        <f>SUM(AA19:AA22)</f>
        <v>152035</v>
      </c>
      <c r="AB18" s="75">
        <f>SUM(AB19:AB22)</f>
        <v>142139</v>
      </c>
      <c r="AC18" s="75">
        <f>SUM(AC19:AC22)</f>
        <v>158365</v>
      </c>
      <c r="AD18" s="75">
        <f>SUM(AD19:AD22)</f>
        <v>152307</v>
      </c>
    </row>
    <row r="19" spans="1:30" x14ac:dyDescent="0.2">
      <c r="A19" s="60" t="s">
        <v>176</v>
      </c>
      <c r="B19" s="32">
        <v>18892</v>
      </c>
      <c r="C19" s="32">
        <v>14610</v>
      </c>
      <c r="D19" s="32">
        <v>24435</v>
      </c>
      <c r="E19" s="32">
        <v>26612</v>
      </c>
      <c r="F19" s="32">
        <v>34148</v>
      </c>
      <c r="G19" s="32">
        <v>31554</v>
      </c>
      <c r="H19" s="32">
        <v>39669</v>
      </c>
      <c r="I19" s="32">
        <v>35239</v>
      </c>
      <c r="J19" s="32">
        <v>41551</v>
      </c>
      <c r="K19" s="32">
        <v>41335</v>
      </c>
      <c r="L19" s="32">
        <v>43996</v>
      </c>
      <c r="M19" s="32">
        <v>48720</v>
      </c>
      <c r="N19" s="32">
        <v>56504</v>
      </c>
      <c r="O19" s="32">
        <v>57179</v>
      </c>
      <c r="P19" s="32">
        <v>67288</v>
      </c>
      <c r="Q19" s="32">
        <v>52105</v>
      </c>
      <c r="R19" s="32">
        <v>91670</v>
      </c>
      <c r="S19" s="32">
        <v>87631</v>
      </c>
      <c r="T19" s="32">
        <v>83782</v>
      </c>
      <c r="U19" s="32">
        <v>104877</v>
      </c>
      <c r="V19" s="32">
        <v>99402</v>
      </c>
      <c r="W19" s="32">
        <v>99266</v>
      </c>
      <c r="X19" s="32">
        <v>111582</v>
      </c>
      <c r="Y19" s="32">
        <v>123522</v>
      </c>
      <c r="Z19" s="32">
        <v>125443</v>
      </c>
      <c r="AA19" s="32">
        <f>119038</f>
        <v>119038</v>
      </c>
      <c r="AB19" s="32">
        <f>116646</f>
        <v>116646</v>
      </c>
      <c r="AC19" s="32">
        <f>135001</f>
        <v>135001</v>
      </c>
      <c r="AD19" s="32">
        <f>136010</f>
        <v>136010</v>
      </c>
    </row>
    <row r="20" spans="1:30" x14ac:dyDescent="0.2">
      <c r="A20" s="60" t="s">
        <v>177</v>
      </c>
      <c r="B20" s="32">
        <v>9069</v>
      </c>
      <c r="C20" s="32">
        <v>10328</v>
      </c>
      <c r="D20" s="32">
        <v>9758</v>
      </c>
      <c r="E20" s="32">
        <v>11605</v>
      </c>
      <c r="F20" s="32">
        <v>8992</v>
      </c>
      <c r="G20" s="32">
        <v>16086</v>
      </c>
      <c r="H20" s="32">
        <v>16664</v>
      </c>
      <c r="I20" s="32">
        <v>19797</v>
      </c>
      <c r="J20" s="32">
        <v>19269</v>
      </c>
      <c r="K20" s="32">
        <v>26701</v>
      </c>
      <c r="L20" s="32">
        <v>25712</v>
      </c>
      <c r="M20" s="32">
        <v>23006</v>
      </c>
      <c r="N20" s="32">
        <v>21984</v>
      </c>
      <c r="O20" s="32">
        <v>21873</v>
      </c>
      <c r="P20" s="32">
        <v>16254</v>
      </c>
      <c r="Q20" s="32">
        <v>16141</v>
      </c>
      <c r="R20" s="32">
        <v>16218</v>
      </c>
      <c r="S20" s="32">
        <v>15215</v>
      </c>
      <c r="T20" s="32">
        <v>16008</v>
      </c>
      <c r="U20" s="32">
        <v>13103</v>
      </c>
      <c r="V20" s="32">
        <v>14938</v>
      </c>
      <c r="W20" s="32">
        <v>16544</v>
      </c>
      <c r="X20" s="32">
        <v>22333</v>
      </c>
      <c r="Y20" s="32">
        <v>20526</v>
      </c>
      <c r="Z20" s="32">
        <v>28985</v>
      </c>
      <c r="AA20" s="32">
        <f>31718</f>
        <v>31718</v>
      </c>
      <c r="AB20" s="32">
        <f>24635</f>
        <v>24635</v>
      </c>
      <c r="AC20" s="32">
        <f>22169</f>
        <v>22169</v>
      </c>
      <c r="AD20" s="32">
        <f>12489</f>
        <v>12489</v>
      </c>
    </row>
    <row r="21" spans="1:30" x14ac:dyDescent="0.2">
      <c r="A21" s="60" t="s">
        <v>178</v>
      </c>
      <c r="B21" s="32">
        <v>565</v>
      </c>
      <c r="C21" s="32">
        <v>7252</v>
      </c>
      <c r="D21" s="32">
        <v>562</v>
      </c>
      <c r="E21" s="32">
        <v>3609</v>
      </c>
      <c r="F21" s="32">
        <v>922</v>
      </c>
      <c r="G21" s="32">
        <v>2423</v>
      </c>
      <c r="H21" s="32">
        <v>890</v>
      </c>
      <c r="I21" s="32">
        <v>2961</v>
      </c>
      <c r="J21" s="32">
        <v>813</v>
      </c>
      <c r="K21" s="32">
        <v>672</v>
      </c>
      <c r="L21" s="32">
        <v>805</v>
      </c>
      <c r="M21" s="32">
        <v>951</v>
      </c>
      <c r="N21" s="32">
        <v>1164</v>
      </c>
      <c r="O21" s="32">
        <v>1226</v>
      </c>
      <c r="P21" s="32">
        <v>2041</v>
      </c>
      <c r="Q21" s="32">
        <v>2017</v>
      </c>
      <c r="R21" s="32">
        <v>1739</v>
      </c>
      <c r="S21" s="32">
        <v>1699</v>
      </c>
      <c r="T21" s="32">
        <v>1742</v>
      </c>
      <c r="U21" s="32">
        <v>1997</v>
      </c>
      <c r="V21" s="32">
        <v>2484</v>
      </c>
      <c r="W21" s="32">
        <v>1701</v>
      </c>
      <c r="X21" s="32">
        <v>5937</v>
      </c>
      <c r="Y21" s="32">
        <v>6050</v>
      </c>
      <c r="Z21" s="32">
        <v>7150</v>
      </c>
      <c r="AA21" s="32">
        <f>8402</f>
        <v>8402</v>
      </c>
      <c r="AB21" s="32">
        <f>9355</f>
        <v>9355</v>
      </c>
      <c r="AC21" s="32">
        <f>9181</f>
        <v>9181</v>
      </c>
      <c r="AD21" s="32">
        <f>9385</f>
        <v>9385</v>
      </c>
    </row>
    <row r="22" spans="1:30" x14ac:dyDescent="0.2">
      <c r="A22" s="60" t="s">
        <v>179</v>
      </c>
      <c r="B22" s="32">
        <v>-659</v>
      </c>
      <c r="C22" s="32">
        <v>-143</v>
      </c>
      <c r="D22" s="32">
        <v>-142</v>
      </c>
      <c r="E22" s="32">
        <v>-304</v>
      </c>
      <c r="F22" s="32">
        <v>-6</v>
      </c>
      <c r="G22" s="32">
        <v>-6</v>
      </c>
      <c r="H22" s="32">
        <v>-91</v>
      </c>
      <c r="I22" s="32">
        <v>-472</v>
      </c>
      <c r="J22" s="32">
        <v>-502</v>
      </c>
      <c r="K22" s="32">
        <v>-986</v>
      </c>
      <c r="L22" s="32">
        <v>-1276</v>
      </c>
      <c r="M22" s="32">
        <v>-1416</v>
      </c>
      <c r="N22" s="32">
        <v>-1728</v>
      </c>
      <c r="O22" s="32">
        <v>-2156</v>
      </c>
      <c r="P22" s="32">
        <v>-3720</v>
      </c>
      <c r="Q22" s="32">
        <v>-2569</v>
      </c>
      <c r="R22" s="32">
        <v>-3048</v>
      </c>
      <c r="S22" s="32">
        <v>-3856</v>
      </c>
      <c r="T22" s="32">
        <v>-4175</v>
      </c>
      <c r="U22" s="32">
        <v>-4532</v>
      </c>
      <c r="V22" s="32">
        <f>-(4412+1902+21)</f>
        <v>-6335</v>
      </c>
      <c r="W22" s="32">
        <v>-7358</v>
      </c>
      <c r="X22" s="32">
        <v>-5745</v>
      </c>
      <c r="Y22" s="32">
        <f>-3922-3654-3</f>
        <v>-7579</v>
      </c>
      <c r="Z22" s="32">
        <f>-7703</f>
        <v>-7703</v>
      </c>
      <c r="AA22" s="32">
        <f>-1928-5193-2</f>
        <v>-7123</v>
      </c>
      <c r="AB22" s="32">
        <f>-2717-5778-2</f>
        <v>-8497</v>
      </c>
      <c r="AC22" s="32">
        <f>-7986</f>
        <v>-7986</v>
      </c>
      <c r="AD22" s="95">
        <f>-5577</f>
        <v>-5577</v>
      </c>
    </row>
    <row r="23" spans="1:30" x14ac:dyDescent="0.2">
      <c r="A23" s="37" t="s">
        <v>180</v>
      </c>
      <c r="B23" s="75">
        <v>4971</v>
      </c>
      <c r="C23" s="75">
        <v>7473</v>
      </c>
      <c r="D23" s="75">
        <v>8200</v>
      </c>
      <c r="E23" s="75">
        <v>11058</v>
      </c>
      <c r="F23" s="75">
        <v>14387</v>
      </c>
      <c r="G23" s="75">
        <v>15078</v>
      </c>
      <c r="H23" s="75">
        <v>17746</v>
      </c>
      <c r="I23" s="75">
        <v>15074</v>
      </c>
      <c r="J23" s="75">
        <v>15926</v>
      </c>
      <c r="K23" s="75">
        <v>18234</v>
      </c>
      <c r="L23" s="75">
        <v>20340</v>
      </c>
      <c r="M23" s="75">
        <v>21409</v>
      </c>
      <c r="N23" s="75">
        <v>26468</v>
      </c>
      <c r="O23" s="75">
        <v>30184</v>
      </c>
      <c r="P23" s="75">
        <v>23728</v>
      </c>
      <c r="Q23" s="75">
        <v>20408</v>
      </c>
      <c r="R23" s="75">
        <v>25451</v>
      </c>
      <c r="S23" s="75">
        <v>25143</v>
      </c>
      <c r="T23" s="75">
        <v>24775</v>
      </c>
      <c r="U23" s="75">
        <v>28624</v>
      </c>
      <c r="V23" s="75">
        <f>SUM(V24:V28)</f>
        <v>37240</v>
      </c>
      <c r="W23" s="75">
        <v>49693</v>
      </c>
      <c r="X23" s="75">
        <f>SUM(X24:X28)</f>
        <v>61739</v>
      </c>
      <c r="Y23" s="75">
        <v>55561</v>
      </c>
      <c r="Z23" s="75">
        <f>SUM(Z24:Z28)</f>
        <v>49384</v>
      </c>
      <c r="AA23" s="75">
        <f>SUM(AA24:AA28)</f>
        <v>59931</v>
      </c>
      <c r="AB23" s="75">
        <f>SUM(AB24:AB28)</f>
        <v>81460</v>
      </c>
      <c r="AC23" s="75">
        <f>SUM(AC24:AC28)</f>
        <v>113156</v>
      </c>
      <c r="AD23" s="195">
        <f>SUM(AD24:AD28)</f>
        <v>135877</v>
      </c>
    </row>
    <row r="24" spans="1:30" x14ac:dyDescent="0.2">
      <c r="A24" s="60" t="s">
        <v>181</v>
      </c>
      <c r="B24" s="32">
        <v>2622</v>
      </c>
      <c r="C24" s="32">
        <v>3549</v>
      </c>
      <c r="D24" s="32">
        <v>3640</v>
      </c>
      <c r="E24" s="32">
        <v>5759</v>
      </c>
      <c r="F24" s="32">
        <v>7399</v>
      </c>
      <c r="G24" s="32">
        <v>5589</v>
      </c>
      <c r="H24" s="32">
        <v>6660</v>
      </c>
      <c r="I24" s="32">
        <v>6920</v>
      </c>
      <c r="J24" s="32">
        <v>7461</v>
      </c>
      <c r="K24" s="32">
        <v>8444</v>
      </c>
      <c r="L24" s="32">
        <v>9185</v>
      </c>
      <c r="M24" s="32">
        <v>10058</v>
      </c>
      <c r="N24" s="32">
        <v>12396</v>
      </c>
      <c r="O24" s="32">
        <v>10894</v>
      </c>
      <c r="P24" s="32">
        <v>9620</v>
      </c>
      <c r="Q24" s="32">
        <v>8075</v>
      </c>
      <c r="R24" s="32">
        <v>10384</v>
      </c>
      <c r="S24" s="32">
        <v>9988</v>
      </c>
      <c r="T24" s="32">
        <v>9489</v>
      </c>
      <c r="U24" s="32">
        <v>8384</v>
      </c>
      <c r="V24" s="32">
        <v>10779</v>
      </c>
      <c r="W24" s="32">
        <v>11015</v>
      </c>
      <c r="X24" s="32">
        <v>12928</v>
      </c>
      <c r="Y24" s="32">
        <v>12613</v>
      </c>
      <c r="Z24" s="32">
        <v>13002</v>
      </c>
      <c r="AA24" s="32">
        <f>11328</f>
        <v>11328</v>
      </c>
      <c r="AB24" s="32">
        <f>13358</f>
        <v>13358</v>
      </c>
      <c r="AC24" s="32">
        <f>16222</f>
        <v>16222</v>
      </c>
      <c r="AD24" s="95">
        <f>13302</f>
        <v>13302</v>
      </c>
    </row>
    <row r="25" spans="1:30" x14ac:dyDescent="0.2">
      <c r="A25" s="60" t="s">
        <v>182</v>
      </c>
      <c r="B25" s="32"/>
      <c r="C25" s="32">
        <v>0</v>
      </c>
      <c r="D25" s="32"/>
      <c r="E25" s="32">
        <v>0</v>
      </c>
      <c r="F25" s="32"/>
      <c r="G25" s="32">
        <v>0</v>
      </c>
      <c r="H25" s="32"/>
      <c r="I25" s="32">
        <v>0</v>
      </c>
      <c r="J25" s="32"/>
      <c r="K25" s="32">
        <v>0</v>
      </c>
      <c r="L25" s="32"/>
      <c r="M25" s="32">
        <v>0</v>
      </c>
      <c r="N25" s="32"/>
      <c r="O25" s="32">
        <v>1187</v>
      </c>
      <c r="P25" s="32">
        <v>164</v>
      </c>
      <c r="Q25" s="32">
        <v>1244</v>
      </c>
      <c r="R25" s="32">
        <v>1577</v>
      </c>
      <c r="S25" s="32">
        <v>2463</v>
      </c>
      <c r="T25" s="32">
        <v>3976</v>
      </c>
      <c r="U25" s="32">
        <v>7138</v>
      </c>
      <c r="V25" s="32">
        <v>12375</v>
      </c>
      <c r="W25" s="32">
        <v>25332</v>
      </c>
      <c r="X25" s="32">
        <v>32772</v>
      </c>
      <c r="Y25" s="32">
        <v>28733</v>
      </c>
      <c r="Z25" s="32">
        <v>17822</v>
      </c>
      <c r="AA25" s="32">
        <v>31252</v>
      </c>
      <c r="AB25" s="32">
        <f>43023</f>
        <v>43023</v>
      </c>
      <c r="AC25" s="32">
        <f>72276</f>
        <v>72276</v>
      </c>
      <c r="AD25" s="95">
        <f>94317</f>
        <v>94317</v>
      </c>
    </row>
    <row r="26" spans="1:30" x14ac:dyDescent="0.2">
      <c r="A26" s="60" t="s">
        <v>183</v>
      </c>
      <c r="B26" s="32">
        <v>1302</v>
      </c>
      <c r="C26" s="32">
        <v>2777</v>
      </c>
      <c r="D26" s="32">
        <v>2548</v>
      </c>
      <c r="E26" s="32">
        <v>2954</v>
      </c>
      <c r="F26" s="32">
        <v>2689</v>
      </c>
      <c r="G26" s="32">
        <v>3103</v>
      </c>
      <c r="H26" s="32">
        <v>3055</v>
      </c>
      <c r="I26" s="32">
        <v>5721</v>
      </c>
      <c r="J26" s="32">
        <v>5489</v>
      </c>
      <c r="K26" s="32">
        <v>6832</v>
      </c>
      <c r="L26" s="32">
        <v>8463</v>
      </c>
      <c r="M26" s="32">
        <v>7733</v>
      </c>
      <c r="N26" s="32">
        <v>9424</v>
      </c>
      <c r="O26" s="32">
        <v>14016</v>
      </c>
      <c r="P26" s="32">
        <v>9841</v>
      </c>
      <c r="Q26" s="32">
        <v>8625</v>
      </c>
      <c r="R26" s="32">
        <v>9396</v>
      </c>
      <c r="S26" s="32">
        <v>8134</v>
      </c>
      <c r="T26" s="32">
        <v>6434</v>
      </c>
      <c r="U26" s="32">
        <v>6993</v>
      </c>
      <c r="V26" s="32">
        <v>7031</v>
      </c>
      <c r="W26" s="32">
        <v>6837</v>
      </c>
      <c r="X26" s="32">
        <v>7131</v>
      </c>
      <c r="Y26" s="32">
        <v>7447</v>
      </c>
      <c r="Z26" s="32">
        <f>8282</f>
        <v>8282</v>
      </c>
      <c r="AA26" s="32">
        <f>6831</f>
        <v>6831</v>
      </c>
      <c r="AB26" s="32">
        <f>9389</f>
        <v>9389</v>
      </c>
      <c r="AC26" s="32">
        <f>9031</f>
        <v>9031</v>
      </c>
      <c r="AD26" s="95">
        <f>10703</f>
        <v>10703</v>
      </c>
    </row>
    <row r="27" spans="1:30" x14ac:dyDescent="0.2">
      <c r="A27" s="60" t="s">
        <v>184</v>
      </c>
      <c r="B27" s="32">
        <v>1162</v>
      </c>
      <c r="C27" s="32">
        <v>1300</v>
      </c>
      <c r="D27" s="32">
        <v>2132</v>
      </c>
      <c r="E27" s="32">
        <v>2436</v>
      </c>
      <c r="F27" s="32">
        <v>4417</v>
      </c>
      <c r="G27" s="32">
        <v>6460</v>
      </c>
      <c r="H27" s="32">
        <v>8127</v>
      </c>
      <c r="I27" s="32">
        <v>2733</v>
      </c>
      <c r="J27" s="32">
        <v>3409</v>
      </c>
      <c r="K27" s="32">
        <v>3546</v>
      </c>
      <c r="L27" s="32">
        <v>3246</v>
      </c>
      <c r="M27" s="32">
        <v>4194</v>
      </c>
      <c r="N27" s="32">
        <v>5535</v>
      </c>
      <c r="O27" s="32">
        <v>4926</v>
      </c>
      <c r="P27" s="32">
        <v>4934</v>
      </c>
      <c r="Q27" s="32">
        <v>3980</v>
      </c>
      <c r="R27" s="32">
        <v>5785</v>
      </c>
      <c r="S27" s="32">
        <v>6238</v>
      </c>
      <c r="T27" s="32">
        <v>6621</v>
      </c>
      <c r="U27" s="32">
        <v>7921</v>
      </c>
      <c r="V27" s="32">
        <f>8149+828</f>
        <v>8977</v>
      </c>
      <c r="W27" s="32">
        <v>7999</v>
      </c>
      <c r="X27" s="32">
        <v>10813</v>
      </c>
      <c r="Y27" s="32">
        <f>11216+1607</f>
        <v>12823</v>
      </c>
      <c r="Z27" s="32">
        <f>10615+1721</f>
        <v>12336</v>
      </c>
      <c r="AA27" s="32">
        <f>10327+2325</f>
        <v>12652</v>
      </c>
      <c r="AB27" s="32">
        <f>16143+1777</f>
        <v>17920</v>
      </c>
      <c r="AC27" s="32">
        <f>16350+1422</f>
        <v>17772</v>
      </c>
      <c r="AD27" s="95">
        <f>18694+873</f>
        <v>19567</v>
      </c>
    </row>
    <row r="28" spans="1:30" x14ac:dyDescent="0.2">
      <c r="A28" s="60" t="s">
        <v>185</v>
      </c>
      <c r="B28" s="32">
        <v>-115</v>
      </c>
      <c r="C28" s="32">
        <v>-153</v>
      </c>
      <c r="D28" s="32">
        <v>-120</v>
      </c>
      <c r="E28" s="32">
        <v>-91</v>
      </c>
      <c r="F28" s="32">
        <v>-118</v>
      </c>
      <c r="G28" s="32">
        <v>-74</v>
      </c>
      <c r="H28" s="32">
        <v>-96</v>
      </c>
      <c r="I28" s="32">
        <v>-300</v>
      </c>
      <c r="J28" s="32">
        <v>-433</v>
      </c>
      <c r="K28" s="32">
        <v>-588</v>
      </c>
      <c r="L28" s="32">
        <v>-554</v>
      </c>
      <c r="M28" s="32">
        <v>-576</v>
      </c>
      <c r="N28" s="32">
        <v>-887</v>
      </c>
      <c r="O28" s="32">
        <v>-839</v>
      </c>
      <c r="P28" s="32">
        <v>-831</v>
      </c>
      <c r="Q28" s="32">
        <v>-1516</v>
      </c>
      <c r="R28" s="32">
        <v>-1691</v>
      </c>
      <c r="S28" s="32">
        <v>-1680</v>
      </c>
      <c r="T28" s="32">
        <v>-1745</v>
      </c>
      <c r="U28" s="32">
        <v>-1812</v>
      </c>
      <c r="V28" s="32">
        <v>-1922</v>
      </c>
      <c r="W28" s="32">
        <v>-1490</v>
      </c>
      <c r="X28" s="32">
        <v>-1905</v>
      </c>
      <c r="Y28" s="32">
        <f>-1271-144-809</f>
        <v>-2224</v>
      </c>
      <c r="Z28" s="32">
        <f>-860-152-1046</f>
        <v>-2058</v>
      </c>
      <c r="AA28" s="92">
        <f>-909-153-1070</f>
        <v>-2132</v>
      </c>
      <c r="AB28" s="92">
        <f>-1038-145-1047</f>
        <v>-2230</v>
      </c>
      <c r="AC28" s="92">
        <f>-808-265-1072</f>
        <v>-2145</v>
      </c>
      <c r="AD28" s="196">
        <f>-880-241-891</f>
        <v>-2012</v>
      </c>
    </row>
    <row r="29" spans="1:30" x14ac:dyDescent="0.2">
      <c r="A29" s="5" t="s">
        <v>404</v>
      </c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92">
        <f>1347</f>
        <v>1347</v>
      </c>
      <c r="AB29" s="92"/>
      <c r="AC29" s="92">
        <f>2484</f>
        <v>2484</v>
      </c>
      <c r="AD29" s="196">
        <f>2077</f>
        <v>2077</v>
      </c>
    </row>
    <row r="30" spans="1:30" x14ac:dyDescent="0.2">
      <c r="A30" s="5" t="s">
        <v>186</v>
      </c>
      <c r="B30" s="32"/>
      <c r="C30" s="32">
        <v>0</v>
      </c>
      <c r="D30" s="32"/>
      <c r="E30" s="32">
        <v>0</v>
      </c>
      <c r="F30" s="32"/>
      <c r="G30" s="32">
        <v>0</v>
      </c>
      <c r="H30" s="32"/>
      <c r="I30" s="32">
        <v>0</v>
      </c>
      <c r="J30" s="32"/>
      <c r="K30" s="32">
        <v>0</v>
      </c>
      <c r="L30" s="32"/>
      <c r="M30" s="32">
        <v>0</v>
      </c>
      <c r="N30" s="32"/>
      <c r="O30" s="32">
        <v>0</v>
      </c>
      <c r="P30" s="32"/>
      <c r="Q30" s="32">
        <v>324</v>
      </c>
      <c r="R30" s="32">
        <v>706</v>
      </c>
      <c r="S30" s="32">
        <v>752</v>
      </c>
      <c r="T30" s="32">
        <v>755</v>
      </c>
      <c r="U30" s="32">
        <v>840</v>
      </c>
      <c r="V30" s="32">
        <v>897</v>
      </c>
      <c r="W30" s="32">
        <v>892</v>
      </c>
      <c r="X30" s="32">
        <v>1176</v>
      </c>
      <c r="Y30" s="32">
        <v>1197</v>
      </c>
      <c r="Z30" s="32">
        <v>1184</v>
      </c>
      <c r="AA30" s="32">
        <v>1662</v>
      </c>
      <c r="AB30" s="32">
        <f>2845</f>
        <v>2845</v>
      </c>
      <c r="AC30" s="32">
        <f>3022</f>
        <v>3022</v>
      </c>
      <c r="AD30" s="95">
        <f>2908</f>
        <v>2908</v>
      </c>
    </row>
    <row r="31" spans="1:30" x14ac:dyDescent="0.2">
      <c r="A31" s="5" t="s">
        <v>187</v>
      </c>
      <c r="B31" s="32">
        <v>779</v>
      </c>
      <c r="C31" s="32">
        <v>1327</v>
      </c>
      <c r="D31" s="32">
        <v>3032</v>
      </c>
      <c r="E31" s="32">
        <v>6870</v>
      </c>
      <c r="F31" s="32">
        <v>3824</v>
      </c>
      <c r="G31" s="32">
        <v>5008</v>
      </c>
      <c r="H31" s="32">
        <v>5493</v>
      </c>
      <c r="I31" s="32">
        <v>1221</v>
      </c>
      <c r="J31" s="32">
        <v>2122</v>
      </c>
      <c r="K31" s="32">
        <v>733</v>
      </c>
      <c r="L31" s="32">
        <v>830</v>
      </c>
      <c r="M31" s="32">
        <v>793</v>
      </c>
      <c r="N31" s="32">
        <v>754</v>
      </c>
      <c r="O31" s="32">
        <v>185</v>
      </c>
      <c r="P31" s="32">
        <v>201</v>
      </c>
      <c r="Q31" s="32">
        <v>203</v>
      </c>
      <c r="R31" s="32">
        <v>879</v>
      </c>
      <c r="S31" s="32">
        <v>203</v>
      </c>
      <c r="T31" s="32">
        <v>304</v>
      </c>
      <c r="U31" s="32">
        <v>212</v>
      </c>
      <c r="V31" s="32">
        <v>92</v>
      </c>
      <c r="W31" s="32">
        <v>126</v>
      </c>
      <c r="X31" s="32">
        <v>53</v>
      </c>
      <c r="Y31" s="32">
        <v>22</v>
      </c>
      <c r="Z31" s="32">
        <v>20</v>
      </c>
      <c r="AA31" s="32">
        <v>37</v>
      </c>
      <c r="AB31" s="32">
        <f>28</f>
        <v>28</v>
      </c>
      <c r="AC31" s="32">
        <f>27</f>
        <v>27</v>
      </c>
      <c r="AD31" s="95">
        <f>173</f>
        <v>173</v>
      </c>
    </row>
    <row r="32" spans="1:30" x14ac:dyDescent="0.2">
      <c r="A32" s="5" t="s">
        <v>188</v>
      </c>
      <c r="B32" s="32">
        <v>16146</v>
      </c>
      <c r="C32" s="32">
        <v>14484</v>
      </c>
      <c r="D32" s="32">
        <v>13276</v>
      </c>
      <c r="E32" s="32">
        <v>10716</v>
      </c>
      <c r="F32" s="32">
        <v>8559</v>
      </c>
      <c r="G32" s="32">
        <v>8139</v>
      </c>
      <c r="H32" s="32">
        <v>9635</v>
      </c>
      <c r="I32" s="32">
        <v>14631</v>
      </c>
      <c r="J32" s="32">
        <v>10042</v>
      </c>
      <c r="K32" s="32">
        <v>11532</v>
      </c>
      <c r="L32" s="32">
        <v>15770</v>
      </c>
      <c r="M32" s="32">
        <v>10206</v>
      </c>
      <c r="N32" s="32">
        <v>9392</v>
      </c>
      <c r="O32" s="32">
        <v>14125</v>
      </c>
      <c r="P32" s="32">
        <v>18865</v>
      </c>
      <c r="Q32" s="32">
        <v>23066</v>
      </c>
      <c r="R32" s="32">
        <v>35797</v>
      </c>
      <c r="S32" s="32">
        <v>31128</v>
      </c>
      <c r="T32" s="32">
        <v>24678</v>
      </c>
      <c r="U32" s="32">
        <v>25830</v>
      </c>
      <c r="V32" s="32">
        <v>39980</v>
      </c>
      <c r="W32" s="32">
        <v>44587</v>
      </c>
      <c r="X32" s="32">
        <v>39194</v>
      </c>
      <c r="Y32" s="32">
        <v>23811</v>
      </c>
      <c r="Z32" s="32">
        <v>25687</v>
      </c>
      <c r="AA32" s="32">
        <v>9724</v>
      </c>
      <c r="AB32" s="32">
        <f>6999</f>
        <v>6999</v>
      </c>
      <c r="AC32" s="32">
        <f>4320</f>
        <v>4320</v>
      </c>
      <c r="AD32" s="95">
        <f>5644</f>
        <v>5644</v>
      </c>
    </row>
    <row r="33" spans="1:30" x14ac:dyDescent="0.2">
      <c r="A33" s="5" t="s">
        <v>189</v>
      </c>
      <c r="B33" s="32">
        <v>30</v>
      </c>
      <c r="C33" s="32">
        <v>34</v>
      </c>
      <c r="D33" s="32">
        <v>13</v>
      </c>
      <c r="E33" s="32">
        <v>32</v>
      </c>
      <c r="F33" s="32">
        <v>20</v>
      </c>
      <c r="G33" s="32">
        <v>7</v>
      </c>
      <c r="H33" s="32">
        <v>18</v>
      </c>
      <c r="I33" s="32">
        <v>66</v>
      </c>
      <c r="J33" s="32">
        <v>66</v>
      </c>
      <c r="K33" s="32">
        <v>0</v>
      </c>
      <c r="L33" s="32">
        <v>7</v>
      </c>
      <c r="M33" s="32">
        <v>0</v>
      </c>
      <c r="N33" s="32"/>
      <c r="O33" s="32">
        <v>0</v>
      </c>
      <c r="P33" s="32"/>
      <c r="Q33" s="32">
        <v>0</v>
      </c>
      <c r="R33" s="32"/>
      <c r="S33" s="32">
        <v>0</v>
      </c>
      <c r="T33" s="32"/>
      <c r="U33" s="32">
        <v>0</v>
      </c>
      <c r="W33" s="32">
        <v>0</v>
      </c>
      <c r="X33" s="32">
        <v>0</v>
      </c>
      <c r="Y33" s="32"/>
      <c r="Z33" s="32"/>
      <c r="AA33" s="32"/>
      <c r="AB33" s="32"/>
      <c r="AC33" s="32"/>
      <c r="AD33" s="95"/>
    </row>
    <row r="34" spans="1:30" x14ac:dyDescent="0.2">
      <c r="A34" s="34" t="s">
        <v>190</v>
      </c>
      <c r="B34" s="75">
        <v>49793</v>
      </c>
      <c r="C34" s="75">
        <v>55365</v>
      </c>
      <c r="D34" s="75">
        <v>59134</v>
      </c>
      <c r="E34" s="75">
        <v>70198</v>
      </c>
      <c r="F34" s="75">
        <v>70846</v>
      </c>
      <c r="G34" s="75">
        <v>78289</v>
      </c>
      <c r="H34" s="75">
        <v>90024</v>
      </c>
      <c r="I34" s="75">
        <v>88517</v>
      </c>
      <c r="J34" s="75">
        <v>89287</v>
      </c>
      <c r="K34" s="75">
        <v>98221</v>
      </c>
      <c r="L34" s="75">
        <v>106184</v>
      </c>
      <c r="M34" s="75">
        <v>103669</v>
      </c>
      <c r="N34" s="75">
        <v>114538</v>
      </c>
      <c r="O34" s="75">
        <v>122616</v>
      </c>
      <c r="P34" s="75">
        <v>124657</v>
      </c>
      <c r="Q34" s="75">
        <v>111695</v>
      </c>
      <c r="R34" s="75">
        <v>169412</v>
      </c>
      <c r="S34" s="75">
        <v>157915</v>
      </c>
      <c r="T34" s="75">
        <v>147869</v>
      </c>
      <c r="U34" s="75">
        <v>170951</v>
      </c>
      <c r="V34" s="75">
        <v>188698</v>
      </c>
      <c r="W34" s="75">
        <v>205451</v>
      </c>
      <c r="X34" s="75">
        <v>236269</v>
      </c>
      <c r="Y34" s="75">
        <v>226941</v>
      </c>
      <c r="Z34" s="75">
        <v>230150</v>
      </c>
      <c r="AA34" s="75">
        <v>224736</v>
      </c>
      <c r="AB34" s="75">
        <f>233471</f>
        <v>233471</v>
      </c>
      <c r="AC34" s="75">
        <f>SUM(AC18,AC23,AC29:AC32)</f>
        <v>281374</v>
      </c>
      <c r="AD34" s="195">
        <f>SUM(AD18,AD23,AD29:AD32)</f>
        <v>298986</v>
      </c>
    </row>
    <row r="35" spans="1:30" x14ac:dyDescent="0.2">
      <c r="A35" s="5" t="s">
        <v>191</v>
      </c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>
        <v>402</v>
      </c>
      <c r="U35" s="32"/>
      <c r="Y35" s="32"/>
      <c r="Z35" s="32"/>
      <c r="AA35" s="32"/>
      <c r="AB35" s="32"/>
      <c r="AC35" s="32"/>
      <c r="AD35" s="95"/>
    </row>
    <row r="36" spans="1:30" x14ac:dyDescent="0.2">
      <c r="A36" s="42" t="s">
        <v>192</v>
      </c>
      <c r="B36" s="76">
        <v>52851</v>
      </c>
      <c r="C36" s="76">
        <v>58784</v>
      </c>
      <c r="D36" s="76">
        <v>62352</v>
      </c>
      <c r="E36" s="76">
        <v>73516</v>
      </c>
      <c r="F36" s="76">
        <v>74411</v>
      </c>
      <c r="G36" s="76">
        <v>83570</v>
      </c>
      <c r="H36" s="76">
        <v>95562</v>
      </c>
      <c r="I36" s="76">
        <v>96280</v>
      </c>
      <c r="J36" s="76">
        <v>96152</v>
      </c>
      <c r="K36" s="76">
        <v>106283</v>
      </c>
      <c r="L36" s="76">
        <v>114870</v>
      </c>
      <c r="M36" s="76">
        <v>114141</v>
      </c>
      <c r="N36" s="76">
        <v>125699</v>
      </c>
      <c r="O36" s="76">
        <v>134813</v>
      </c>
      <c r="P36" s="76">
        <v>138127</v>
      </c>
      <c r="Q36" s="76">
        <v>124537</v>
      </c>
      <c r="R36" s="76">
        <v>183817</v>
      </c>
      <c r="S36" s="76">
        <v>171344</v>
      </c>
      <c r="T36" s="76">
        <v>162289</v>
      </c>
      <c r="U36" s="76">
        <v>186519</v>
      </c>
      <c r="V36" s="59">
        <v>204237</v>
      </c>
      <c r="W36" s="59">
        <v>222098</v>
      </c>
      <c r="X36" s="59">
        <v>254552</v>
      </c>
      <c r="Y36" s="59">
        <v>248045</v>
      </c>
      <c r="Z36" s="59">
        <v>251350</v>
      </c>
      <c r="AA36" s="59">
        <v>260391</v>
      </c>
      <c r="AB36" s="59">
        <f>274393</f>
        <v>274393</v>
      </c>
      <c r="AC36" s="59">
        <f>SUM(AC15,AC34)</f>
        <v>323330</v>
      </c>
      <c r="AD36" s="197">
        <f>SUM(AD15,AD34)</f>
        <v>348169</v>
      </c>
    </row>
    <row r="37" spans="1:30" x14ac:dyDescent="0.2"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W37" s="82"/>
      <c r="X37" s="82"/>
      <c r="Y37" s="82"/>
      <c r="Z37" s="82"/>
      <c r="AA37" s="82"/>
      <c r="AB37" s="82"/>
      <c r="AC37" s="82"/>
      <c r="AD37" s="82"/>
    </row>
    <row r="38" spans="1:30" x14ac:dyDescent="0.2">
      <c r="A38" s="43" t="s">
        <v>193</v>
      </c>
      <c r="B38" s="93"/>
      <c r="C38" s="93"/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4"/>
      <c r="AB38" s="5"/>
      <c r="AC38" s="5"/>
      <c r="AD38" s="5"/>
    </row>
    <row r="39" spans="1:30" x14ac:dyDescent="0.2">
      <c r="A39" s="41" t="s">
        <v>194</v>
      </c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AB39" s="5"/>
      <c r="AC39" s="5"/>
      <c r="AD39" s="5"/>
    </row>
    <row r="40" spans="1:30" x14ac:dyDescent="0.2">
      <c r="A40" s="5" t="s">
        <v>195</v>
      </c>
      <c r="B40" s="32">
        <v>15439</v>
      </c>
      <c r="C40" s="32">
        <v>14980</v>
      </c>
      <c r="D40" s="32">
        <v>14967</v>
      </c>
      <c r="E40" s="32">
        <v>14967</v>
      </c>
      <c r="F40" s="32">
        <v>14967</v>
      </c>
      <c r="G40" s="32">
        <v>14967</v>
      </c>
      <c r="H40" s="32">
        <v>14983</v>
      </c>
      <c r="I40" s="32">
        <v>14983</v>
      </c>
      <c r="J40" s="32">
        <v>14983</v>
      </c>
      <c r="K40" s="32">
        <v>14999</v>
      </c>
      <c r="L40" s="32">
        <v>14999</v>
      </c>
      <c r="M40" s="32">
        <v>15070</v>
      </c>
      <c r="N40" s="32">
        <v>14603</v>
      </c>
      <c r="O40" s="32">
        <v>14103</v>
      </c>
      <c r="P40" s="32">
        <v>15487</v>
      </c>
      <c r="Q40" s="32">
        <v>15487</v>
      </c>
      <c r="R40" s="32">
        <v>15487</v>
      </c>
      <c r="S40" s="32">
        <v>15487</v>
      </c>
      <c r="T40" s="32">
        <v>15487</v>
      </c>
      <c r="U40" s="32">
        <v>15487</v>
      </c>
      <c r="V40" s="32">
        <v>26490</v>
      </c>
      <c r="W40" s="32">
        <f t="shared" ref="W40:AD40" si="0">SUM(W41:W43)</f>
        <v>26368</v>
      </c>
      <c r="X40" s="32">
        <f t="shared" si="0"/>
        <v>26368</v>
      </c>
      <c r="Y40" s="32">
        <f t="shared" si="0"/>
        <v>26368</v>
      </c>
      <c r="Z40" s="32">
        <f t="shared" si="0"/>
        <v>26368</v>
      </c>
      <c r="AA40" s="32">
        <f t="shared" si="0"/>
        <v>26368</v>
      </c>
      <c r="AB40" s="32">
        <f t="shared" si="0"/>
        <v>26368</v>
      </c>
      <c r="AC40" s="32">
        <f t="shared" si="0"/>
        <v>26368</v>
      </c>
      <c r="AD40" s="32">
        <f t="shared" si="0"/>
        <v>26368</v>
      </c>
    </row>
    <row r="41" spans="1:30" x14ac:dyDescent="0.2">
      <c r="A41" s="5" t="s">
        <v>196</v>
      </c>
      <c r="B41" s="32">
        <v>1</v>
      </c>
      <c r="C41" s="32">
        <v>1</v>
      </c>
      <c r="D41" s="32">
        <v>0</v>
      </c>
      <c r="E41" s="32">
        <v>0</v>
      </c>
      <c r="F41" s="32">
        <v>0</v>
      </c>
      <c r="G41" s="32">
        <v>0</v>
      </c>
      <c r="H41" s="32">
        <v>0</v>
      </c>
      <c r="I41" s="32">
        <v>0</v>
      </c>
      <c r="J41" s="32">
        <v>0</v>
      </c>
      <c r="K41" s="32">
        <v>0</v>
      </c>
      <c r="L41" s="32"/>
      <c r="M41" s="32">
        <v>1</v>
      </c>
      <c r="N41" s="32">
        <v>2</v>
      </c>
      <c r="O41" s="32">
        <v>2</v>
      </c>
      <c r="P41" s="32">
        <v>2</v>
      </c>
      <c r="Q41" s="32">
        <v>2</v>
      </c>
      <c r="R41" s="32">
        <v>2</v>
      </c>
      <c r="S41" s="32">
        <v>2</v>
      </c>
      <c r="T41" s="32">
        <v>2</v>
      </c>
      <c r="U41" s="32">
        <v>2</v>
      </c>
      <c r="V41" s="32">
        <v>2</v>
      </c>
      <c r="W41" s="32">
        <v>2</v>
      </c>
      <c r="X41" s="32">
        <v>2</v>
      </c>
      <c r="Y41" s="32">
        <v>2</v>
      </c>
      <c r="Z41" s="32">
        <v>2</v>
      </c>
      <c r="AA41" s="32">
        <v>2</v>
      </c>
      <c r="AB41" s="32">
        <f>2</f>
        <v>2</v>
      </c>
      <c r="AC41" s="32">
        <v>2</v>
      </c>
      <c r="AD41" s="32">
        <f>2</f>
        <v>2</v>
      </c>
    </row>
    <row r="42" spans="1:30" x14ac:dyDescent="0.2">
      <c r="A42" s="5" t="s">
        <v>197</v>
      </c>
      <c r="B42" s="32">
        <v>15438</v>
      </c>
      <c r="C42" s="32">
        <v>15438</v>
      </c>
      <c r="D42" s="32">
        <v>0</v>
      </c>
      <c r="E42" s="32">
        <v>0</v>
      </c>
      <c r="F42" s="32">
        <v>0</v>
      </c>
      <c r="G42" s="32">
        <v>0</v>
      </c>
      <c r="H42" s="32">
        <v>0</v>
      </c>
      <c r="I42" s="32">
        <v>0</v>
      </c>
      <c r="J42" s="32">
        <v>0</v>
      </c>
      <c r="K42" s="32">
        <v>0</v>
      </c>
      <c r="L42" s="32"/>
      <c r="M42" s="32">
        <v>15509</v>
      </c>
      <c r="N42" s="32">
        <v>15509</v>
      </c>
      <c r="O42" s="32">
        <v>15486</v>
      </c>
      <c r="P42" s="32">
        <v>15486</v>
      </c>
      <c r="Q42" s="32">
        <v>15486</v>
      </c>
      <c r="R42" s="32">
        <v>15486</v>
      </c>
      <c r="S42" s="32">
        <v>15486</v>
      </c>
      <c r="T42" s="32">
        <v>15486</v>
      </c>
      <c r="U42" s="32">
        <v>15486</v>
      </c>
      <c r="V42" s="32">
        <v>26489</v>
      </c>
      <c r="W42" s="32">
        <v>26367</v>
      </c>
      <c r="X42" s="32">
        <v>26367</v>
      </c>
      <c r="Y42" s="32">
        <v>26367</v>
      </c>
      <c r="Z42" s="32">
        <v>26367</v>
      </c>
      <c r="AA42" s="32">
        <v>26367</v>
      </c>
      <c r="AB42" s="32">
        <f>26367</f>
        <v>26367</v>
      </c>
      <c r="AC42" s="32">
        <v>26367</v>
      </c>
      <c r="AD42" s="32">
        <f>26367</f>
        <v>26367</v>
      </c>
    </row>
    <row r="43" spans="1:30" x14ac:dyDescent="0.2">
      <c r="A43" s="5" t="s">
        <v>198</v>
      </c>
      <c r="B43" s="32"/>
      <c r="C43" s="32">
        <v>-459</v>
      </c>
      <c r="D43" s="32">
        <v>0</v>
      </c>
      <c r="E43" s="32">
        <v>0</v>
      </c>
      <c r="F43" s="32">
        <v>0</v>
      </c>
      <c r="G43" s="32">
        <v>0</v>
      </c>
      <c r="H43" s="32">
        <v>0</v>
      </c>
      <c r="I43" s="32">
        <v>0</v>
      </c>
      <c r="J43" s="32">
        <v>0</v>
      </c>
      <c r="K43" s="32">
        <v>0</v>
      </c>
      <c r="L43" s="32"/>
      <c r="M43" s="32">
        <v>-440</v>
      </c>
      <c r="N43" s="32">
        <v>-908</v>
      </c>
      <c r="O43" s="32">
        <v>-1606</v>
      </c>
      <c r="P43" s="32">
        <v>-1</v>
      </c>
      <c r="Q43" s="32">
        <v>-1</v>
      </c>
      <c r="R43" s="32">
        <v>-1</v>
      </c>
      <c r="S43" s="32">
        <v>-1</v>
      </c>
      <c r="T43" s="32">
        <v>-1</v>
      </c>
      <c r="U43" s="32">
        <v>-1</v>
      </c>
      <c r="V43" s="32">
        <v>-1</v>
      </c>
      <c r="W43" s="32">
        <v>-1</v>
      </c>
      <c r="X43" s="32">
        <v>-1</v>
      </c>
      <c r="Y43" s="32">
        <v>-1</v>
      </c>
      <c r="Z43" s="32">
        <v>-1</v>
      </c>
      <c r="AA43" s="32">
        <v>-1</v>
      </c>
      <c r="AB43" s="32">
        <v>-1</v>
      </c>
      <c r="AC43" s="32">
        <v>-1</v>
      </c>
      <c r="AD43" s="32">
        <f>-1</f>
        <v>-1</v>
      </c>
    </row>
    <row r="44" spans="1:30" x14ac:dyDescent="0.2">
      <c r="A44" s="5" t="s">
        <v>381</v>
      </c>
      <c r="B44" s="32"/>
      <c r="C44" s="32">
        <v>0</v>
      </c>
      <c r="D44" s="32">
        <v>0</v>
      </c>
      <c r="E44" s="32">
        <v>0</v>
      </c>
      <c r="F44" s="32">
        <v>0</v>
      </c>
      <c r="G44" s="32">
        <v>0</v>
      </c>
      <c r="H44" s="32">
        <v>0</v>
      </c>
      <c r="I44" s="32">
        <v>0</v>
      </c>
      <c r="J44" s="32">
        <v>0</v>
      </c>
      <c r="K44" s="32">
        <v>0</v>
      </c>
      <c r="L44" s="32"/>
      <c r="M44" s="32">
        <v>0</v>
      </c>
      <c r="N44" s="32"/>
      <c r="O44" s="32">
        <v>221</v>
      </c>
      <c r="P44" s="32">
        <v>0</v>
      </c>
      <c r="Q44" s="32">
        <v>0</v>
      </c>
      <c r="R44" s="32">
        <v>0</v>
      </c>
      <c r="S44" s="32">
        <v>0</v>
      </c>
      <c r="T44" s="32">
        <v>0</v>
      </c>
      <c r="U44" s="32">
        <v>0</v>
      </c>
      <c r="V44" s="32">
        <v>0</v>
      </c>
      <c r="W44" s="32">
        <v>0</v>
      </c>
      <c r="X44" s="32">
        <v>0</v>
      </c>
      <c r="Y44" s="32">
        <v>0</v>
      </c>
      <c r="Z44" s="32">
        <v>0</v>
      </c>
      <c r="AA44" s="32">
        <v>0</v>
      </c>
      <c r="AB44" s="32">
        <f>0</f>
        <v>0</v>
      </c>
      <c r="AC44" s="100">
        <f>0</f>
        <v>0</v>
      </c>
      <c r="AD44" s="100">
        <f>0</f>
        <v>0</v>
      </c>
    </row>
    <row r="45" spans="1:30" x14ac:dyDescent="0.2">
      <c r="A45" s="5" t="s">
        <v>199</v>
      </c>
      <c r="B45" s="32">
        <v>12880</v>
      </c>
      <c r="C45" s="32">
        <v>17704</v>
      </c>
      <c r="D45" s="32">
        <v>20009</v>
      </c>
      <c r="E45" s="32">
        <v>22688</v>
      </c>
      <c r="F45" s="32">
        <v>25771</v>
      </c>
      <c r="G45" s="32">
        <v>29332</v>
      </c>
      <c r="H45" s="32">
        <v>30259</v>
      </c>
      <c r="I45" s="32">
        <v>36537</v>
      </c>
      <c r="J45" s="32">
        <v>37011</v>
      </c>
      <c r="K45" s="32">
        <v>39697</v>
      </c>
      <c r="L45" s="32">
        <v>40068</v>
      </c>
      <c r="M45" s="32">
        <v>43052</v>
      </c>
      <c r="N45" s="32">
        <v>44263</v>
      </c>
      <c r="O45" s="32">
        <v>48702</v>
      </c>
      <c r="P45" s="32">
        <v>43428</v>
      </c>
      <c r="Q45" s="32">
        <v>39802</v>
      </c>
      <c r="R45" s="32">
        <v>41848</v>
      </c>
      <c r="S45" s="32">
        <v>37089</v>
      </c>
      <c r="T45" s="32">
        <v>35317</v>
      </c>
      <c r="U45" s="32">
        <v>35586</v>
      </c>
      <c r="V45" s="32">
        <v>36881</v>
      </c>
      <c r="W45" s="32">
        <v>34992</v>
      </c>
      <c r="X45" s="32">
        <v>46655</v>
      </c>
      <c r="Y45" s="32">
        <v>47821</v>
      </c>
      <c r="Z45" s="32">
        <v>45779</v>
      </c>
      <c r="AA45" s="32">
        <v>44523</v>
      </c>
      <c r="AB45" s="32">
        <f>43026</f>
        <v>43026</v>
      </c>
      <c r="AC45" s="32">
        <f>37609</f>
        <v>37609</v>
      </c>
      <c r="AD45" s="32">
        <f>28669</f>
        <v>28669</v>
      </c>
    </row>
    <row r="46" spans="1:30" x14ac:dyDescent="0.2">
      <c r="A46" s="5" t="s">
        <v>200</v>
      </c>
      <c r="B46" s="32">
        <v>28319</v>
      </c>
      <c r="C46" s="32">
        <v>32684</v>
      </c>
      <c r="D46" s="32">
        <v>34976</v>
      </c>
      <c r="E46" s="32">
        <v>37655</v>
      </c>
      <c r="F46" s="32">
        <v>40738</v>
      </c>
      <c r="G46" s="32">
        <v>44299</v>
      </c>
      <c r="H46" s="32">
        <v>45242</v>
      </c>
      <c r="I46" s="32">
        <v>51520</v>
      </c>
      <c r="J46" s="32">
        <v>51994</v>
      </c>
      <c r="K46" s="32">
        <v>54696</v>
      </c>
      <c r="L46" s="32">
        <v>55067</v>
      </c>
      <c r="M46" s="32">
        <v>58122</v>
      </c>
      <c r="N46" s="32">
        <v>58866</v>
      </c>
      <c r="O46" s="32">
        <v>62805</v>
      </c>
      <c r="P46" s="32">
        <v>58915</v>
      </c>
      <c r="Q46" s="32">
        <v>55289</v>
      </c>
      <c r="R46" s="32">
        <v>57335</v>
      </c>
      <c r="S46" s="32">
        <v>52576</v>
      </c>
      <c r="T46" s="32">
        <v>50804</v>
      </c>
      <c r="U46" s="32">
        <v>51073</v>
      </c>
      <c r="V46" s="32">
        <v>63371</v>
      </c>
      <c r="W46" s="32">
        <v>61360</v>
      </c>
      <c r="X46" s="32">
        <v>73023</v>
      </c>
      <c r="Y46" s="32">
        <v>74189</v>
      </c>
      <c r="Z46" s="32">
        <v>72147</v>
      </c>
      <c r="AA46" s="32">
        <v>70891</v>
      </c>
      <c r="AB46" s="32">
        <f>69394</f>
        <v>69394</v>
      </c>
      <c r="AC46" s="32">
        <f>63977</f>
        <v>63977</v>
      </c>
      <c r="AD46" s="32">
        <f>55037</f>
        <v>55037</v>
      </c>
    </row>
    <row r="47" spans="1:30" x14ac:dyDescent="0.2">
      <c r="A47" s="5" t="s">
        <v>160</v>
      </c>
      <c r="B47" s="32">
        <v>487</v>
      </c>
      <c r="C47" s="32">
        <v>372</v>
      </c>
      <c r="D47" s="32">
        <v>436</v>
      </c>
      <c r="E47" s="32">
        <v>408</v>
      </c>
      <c r="F47" s="32">
        <v>394</v>
      </c>
      <c r="G47" s="32">
        <v>387</v>
      </c>
      <c r="H47" s="32">
        <v>387</v>
      </c>
      <c r="I47" s="32">
        <v>351</v>
      </c>
      <c r="J47" s="32">
        <v>170</v>
      </c>
      <c r="K47" s="32">
        <v>147</v>
      </c>
      <c r="L47" s="32">
        <v>83</v>
      </c>
      <c r="M47" s="32">
        <v>28</v>
      </c>
      <c r="N47" s="32">
        <v>0</v>
      </c>
      <c r="O47" s="32">
        <v>0</v>
      </c>
      <c r="P47" s="32">
        <v>1</v>
      </c>
      <c r="Q47" s="32">
        <v>2</v>
      </c>
      <c r="R47" s="32">
        <v>15079</v>
      </c>
      <c r="S47" s="32">
        <v>0</v>
      </c>
      <c r="T47" s="32">
        <v>1</v>
      </c>
      <c r="U47" s="32">
        <v>0</v>
      </c>
      <c r="V47" s="32">
        <v>0</v>
      </c>
      <c r="W47" s="32">
        <v>0</v>
      </c>
      <c r="X47" s="32">
        <v>204</v>
      </c>
      <c r="Y47" s="32"/>
      <c r="Z47" s="32"/>
      <c r="AA47" s="32">
        <f>0</f>
        <v>0</v>
      </c>
      <c r="AB47" s="32">
        <f>808</f>
        <v>808</v>
      </c>
      <c r="AC47" s="32">
        <f>808</f>
        <v>808</v>
      </c>
      <c r="AD47" s="32">
        <f>808</f>
        <v>808</v>
      </c>
    </row>
    <row r="48" spans="1:30" x14ac:dyDescent="0.2">
      <c r="A48" s="34" t="s">
        <v>201</v>
      </c>
      <c r="B48" s="75">
        <v>28806</v>
      </c>
      <c r="C48" s="75">
        <v>33056</v>
      </c>
      <c r="D48" s="75">
        <v>35412</v>
      </c>
      <c r="E48" s="75">
        <v>38063</v>
      </c>
      <c r="F48" s="75">
        <v>41132</v>
      </c>
      <c r="G48" s="75">
        <v>44686</v>
      </c>
      <c r="H48" s="75">
        <v>45629</v>
      </c>
      <c r="I48" s="75">
        <v>51871</v>
      </c>
      <c r="J48" s="75">
        <v>52164</v>
      </c>
      <c r="K48" s="75">
        <v>54843</v>
      </c>
      <c r="L48" s="75">
        <v>55150</v>
      </c>
      <c r="M48" s="75">
        <v>58150</v>
      </c>
      <c r="N48" s="75">
        <v>58866</v>
      </c>
      <c r="O48" s="75">
        <v>62805</v>
      </c>
      <c r="P48" s="75">
        <v>58916</v>
      </c>
      <c r="Q48" s="75">
        <v>55291</v>
      </c>
      <c r="R48" s="75">
        <v>72414</v>
      </c>
      <c r="S48" s="75">
        <v>52576</v>
      </c>
      <c r="T48" s="75">
        <v>50805</v>
      </c>
      <c r="U48" s="75">
        <v>51073</v>
      </c>
      <c r="V48" s="75">
        <v>63371</v>
      </c>
      <c r="W48" s="75">
        <v>61360</v>
      </c>
      <c r="X48" s="75">
        <v>73227</v>
      </c>
      <c r="Y48" s="75">
        <v>74189</v>
      </c>
      <c r="Z48" s="75">
        <v>72147</v>
      </c>
      <c r="AA48" s="75">
        <v>70891</v>
      </c>
      <c r="AB48" s="75">
        <f>70202</f>
        <v>70202</v>
      </c>
      <c r="AC48" s="75">
        <f>SUM(AC46:AC47)</f>
        <v>64785</v>
      </c>
      <c r="AD48" s="75">
        <f>SUM(AD46:AD47)</f>
        <v>55845</v>
      </c>
    </row>
    <row r="49" spans="1:30" x14ac:dyDescent="0.2">
      <c r="A49" s="34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AB49" s="5"/>
      <c r="AC49" s="5"/>
      <c r="AD49" s="5"/>
    </row>
    <row r="50" spans="1:30" x14ac:dyDescent="0.2">
      <c r="A50" s="41" t="s">
        <v>202</v>
      </c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AB50" s="5"/>
      <c r="AC50" s="5"/>
      <c r="AD50" s="5"/>
    </row>
    <row r="51" spans="1:30" x14ac:dyDescent="0.2">
      <c r="A51" s="5" t="s">
        <v>203</v>
      </c>
      <c r="B51" s="32">
        <v>7658</v>
      </c>
      <c r="C51" s="32">
        <v>8456</v>
      </c>
      <c r="D51" s="32">
        <v>7466</v>
      </c>
      <c r="E51" s="32">
        <v>12811</v>
      </c>
      <c r="F51" s="32">
        <v>10750</v>
      </c>
      <c r="G51" s="32">
        <v>10176</v>
      </c>
      <c r="H51" s="32">
        <v>10050</v>
      </c>
      <c r="I51" s="32">
        <v>12411</v>
      </c>
      <c r="J51" s="32">
        <v>13375</v>
      </c>
      <c r="K51" s="32">
        <v>13138</v>
      </c>
      <c r="L51" s="32">
        <v>12950</v>
      </c>
      <c r="M51" s="32">
        <v>12415</v>
      </c>
      <c r="N51" s="32">
        <v>14973</v>
      </c>
      <c r="O51" s="32">
        <v>21418</v>
      </c>
      <c r="P51" s="32">
        <v>20673</v>
      </c>
      <c r="Q51" s="32">
        <v>17559</v>
      </c>
      <c r="R51" s="32">
        <v>33422</v>
      </c>
      <c r="S51" s="32">
        <v>42258</v>
      </c>
      <c r="T51" s="32">
        <v>33623</v>
      </c>
      <c r="U51" s="32">
        <v>34636</v>
      </c>
      <c r="V51" s="32">
        <v>50322</v>
      </c>
      <c r="W51" s="32">
        <v>67132</v>
      </c>
      <c r="X51" s="32">
        <v>75626</v>
      </c>
      <c r="Y51" s="32">
        <v>73970</v>
      </c>
      <c r="Z51" s="32">
        <v>81818</v>
      </c>
      <c r="AA51" s="32">
        <v>82112</v>
      </c>
      <c r="AB51" s="32">
        <f>122062</f>
        <v>122062</v>
      </c>
      <c r="AC51" s="32">
        <f>131773</f>
        <v>131773</v>
      </c>
      <c r="AD51" s="32">
        <f>147056</f>
        <v>147056</v>
      </c>
    </row>
    <row r="52" spans="1:30" x14ac:dyDescent="0.2">
      <c r="A52" s="5" t="s">
        <v>204</v>
      </c>
      <c r="B52" s="32">
        <v>129</v>
      </c>
      <c r="C52" s="32">
        <v>48</v>
      </c>
      <c r="D52" s="32">
        <v>30</v>
      </c>
      <c r="E52" s="32">
        <v>980</v>
      </c>
      <c r="F52" s="32">
        <v>1041</v>
      </c>
      <c r="G52" s="32">
        <v>785</v>
      </c>
      <c r="H52" s="32">
        <v>678</v>
      </c>
      <c r="I52" s="32">
        <v>2854</v>
      </c>
      <c r="J52" s="32">
        <v>4024</v>
      </c>
      <c r="K52" s="32">
        <v>923</v>
      </c>
      <c r="L52" s="32">
        <v>610</v>
      </c>
      <c r="M52" s="32">
        <v>859</v>
      </c>
      <c r="N52" s="32">
        <v>3270</v>
      </c>
      <c r="O52" s="32">
        <v>2546</v>
      </c>
      <c r="P52" s="32">
        <v>2154</v>
      </c>
      <c r="Q52" s="32">
        <v>1995</v>
      </c>
      <c r="R52" s="32">
        <v>2868</v>
      </c>
      <c r="S52" s="32">
        <v>3227</v>
      </c>
      <c r="T52" s="32">
        <v>1411</v>
      </c>
      <c r="U52" s="32">
        <v>26734</v>
      </c>
      <c r="V52" s="32">
        <v>28044</v>
      </c>
      <c r="W52" s="32">
        <v>31230</v>
      </c>
      <c r="X52" s="32">
        <v>23733</v>
      </c>
      <c r="Y52" s="32">
        <v>22978</v>
      </c>
      <c r="Z52" s="32">
        <v>9770</v>
      </c>
      <c r="AA52" s="32">
        <f>7745</f>
        <v>7745</v>
      </c>
      <c r="AB52" s="32">
        <f>6573</f>
        <v>6573</v>
      </c>
      <c r="AC52" s="32">
        <f>SUM(AC53:AC54)</f>
        <v>11611</v>
      </c>
      <c r="AD52" s="32">
        <f>SUM(AD53:AD54)</f>
        <v>5807</v>
      </c>
    </row>
    <row r="53" spans="1:30" x14ac:dyDescent="0.2">
      <c r="A53" s="99" t="s">
        <v>205</v>
      </c>
      <c r="B53" s="32">
        <v>129</v>
      </c>
      <c r="C53" s="32">
        <v>48</v>
      </c>
      <c r="D53" s="32">
        <v>30</v>
      </c>
      <c r="E53" s="32">
        <v>980</v>
      </c>
      <c r="F53" s="32">
        <v>1041</v>
      </c>
      <c r="G53" s="32">
        <v>785</v>
      </c>
      <c r="H53" s="32">
        <v>678</v>
      </c>
      <c r="I53" s="32">
        <v>2854</v>
      </c>
      <c r="J53" s="32">
        <v>4024</v>
      </c>
      <c r="K53" s="32">
        <v>923</v>
      </c>
      <c r="L53" s="32">
        <v>610</v>
      </c>
      <c r="M53" s="32">
        <v>859</v>
      </c>
      <c r="N53" s="32">
        <v>3270</v>
      </c>
      <c r="O53" s="32">
        <v>2546</v>
      </c>
      <c r="P53" s="32">
        <v>2154</v>
      </c>
      <c r="Q53" s="32">
        <v>1777</v>
      </c>
      <c r="R53" s="32">
        <v>2867</v>
      </c>
      <c r="S53" s="32">
        <v>3227</v>
      </c>
      <c r="T53" s="32">
        <v>1411</v>
      </c>
      <c r="U53" s="32">
        <v>26734</v>
      </c>
      <c r="V53" s="32">
        <v>28044</v>
      </c>
      <c r="W53" s="32">
        <v>31230</v>
      </c>
      <c r="X53" s="32">
        <f>X52</f>
        <v>23733</v>
      </c>
      <c r="Y53" s="32">
        <v>22978</v>
      </c>
      <c r="Z53" s="32">
        <v>9770</v>
      </c>
      <c r="AA53" s="32">
        <f>7745</f>
        <v>7745</v>
      </c>
      <c r="AB53" s="32">
        <f>6573</f>
        <v>6573</v>
      </c>
      <c r="AC53" s="32">
        <f>11611</f>
        <v>11611</v>
      </c>
      <c r="AD53" s="32">
        <f>5807</f>
        <v>5807</v>
      </c>
    </row>
    <row r="54" spans="1:30" x14ac:dyDescent="0.2">
      <c r="A54" s="99" t="s">
        <v>206</v>
      </c>
      <c r="B54" s="32"/>
      <c r="C54" s="32">
        <v>0</v>
      </c>
      <c r="D54" s="32"/>
      <c r="E54" s="32">
        <v>0</v>
      </c>
      <c r="F54" s="32"/>
      <c r="G54" s="32">
        <v>0</v>
      </c>
      <c r="H54" s="32"/>
      <c r="I54" s="32">
        <v>0</v>
      </c>
      <c r="J54" s="32"/>
      <c r="K54" s="32">
        <v>0</v>
      </c>
      <c r="L54" s="32"/>
      <c r="M54" s="32">
        <v>0</v>
      </c>
      <c r="N54" s="32"/>
      <c r="O54" s="32">
        <v>0</v>
      </c>
      <c r="P54" s="32"/>
      <c r="Q54" s="32">
        <v>218</v>
      </c>
      <c r="R54" s="32">
        <v>1</v>
      </c>
      <c r="S54" s="32">
        <v>0</v>
      </c>
      <c r="T54" s="32">
        <v>0</v>
      </c>
      <c r="U54" s="32">
        <v>0</v>
      </c>
      <c r="V54" s="32">
        <v>0</v>
      </c>
      <c r="W54" s="32">
        <v>0</v>
      </c>
      <c r="X54" s="32"/>
      <c r="Y54" s="32"/>
      <c r="Z54" s="32"/>
      <c r="AA54" s="32"/>
      <c r="AB54" s="32"/>
      <c r="AC54" s="32"/>
      <c r="AD54" s="32"/>
    </row>
    <row r="55" spans="1:30" x14ac:dyDescent="0.2">
      <c r="A55" s="5" t="s">
        <v>207</v>
      </c>
      <c r="B55" s="32">
        <v>75</v>
      </c>
      <c r="C55" s="32">
        <v>77</v>
      </c>
      <c r="D55" s="32">
        <v>61</v>
      </c>
      <c r="E55" s="32">
        <v>65</v>
      </c>
      <c r="F55" s="32">
        <v>61</v>
      </c>
      <c r="G55" s="32">
        <v>89</v>
      </c>
      <c r="H55" s="32">
        <v>91</v>
      </c>
      <c r="I55" s="32">
        <v>114</v>
      </c>
      <c r="J55" s="32">
        <v>112</v>
      </c>
      <c r="K55" s="32">
        <v>117</v>
      </c>
      <c r="L55" s="32">
        <v>109</v>
      </c>
      <c r="M55" s="32">
        <v>107</v>
      </c>
      <c r="N55" s="32">
        <v>99</v>
      </c>
      <c r="O55" s="32">
        <v>102</v>
      </c>
      <c r="P55" s="32">
        <v>85</v>
      </c>
      <c r="Q55" s="32">
        <v>121</v>
      </c>
      <c r="R55" s="32">
        <v>136</v>
      </c>
      <c r="S55" s="32">
        <v>116</v>
      </c>
      <c r="T55" s="32">
        <v>183</v>
      </c>
      <c r="U55" s="32">
        <v>129</v>
      </c>
      <c r="V55" s="32">
        <v>111</v>
      </c>
      <c r="W55" s="32">
        <v>117</v>
      </c>
      <c r="X55" s="32">
        <v>418</v>
      </c>
      <c r="Y55" s="32">
        <v>406</v>
      </c>
      <c r="Z55" s="32">
        <v>396</v>
      </c>
      <c r="AA55" s="32">
        <v>366</v>
      </c>
      <c r="AB55" s="32">
        <f>347</f>
        <v>347</v>
      </c>
      <c r="AC55" s="32">
        <f>208</f>
        <v>208</v>
      </c>
      <c r="AD55" s="32">
        <f>179</f>
        <v>179</v>
      </c>
    </row>
    <row r="56" spans="1:30" x14ac:dyDescent="0.2">
      <c r="A56" s="5" t="s">
        <v>411</v>
      </c>
      <c r="B56" s="32">
        <f>0</f>
        <v>0</v>
      </c>
      <c r="C56" s="32">
        <f>0</f>
        <v>0</v>
      </c>
      <c r="D56" s="32">
        <f>0</f>
        <v>0</v>
      </c>
      <c r="E56" s="32">
        <f>0</f>
        <v>0</v>
      </c>
      <c r="F56" s="32">
        <f>0</f>
        <v>0</v>
      </c>
      <c r="G56" s="32">
        <f>0</f>
        <v>0</v>
      </c>
      <c r="H56" s="32">
        <f>0</f>
        <v>0</v>
      </c>
      <c r="I56" s="32">
        <f>0</f>
        <v>0</v>
      </c>
      <c r="J56" s="32">
        <f>0</f>
        <v>0</v>
      </c>
      <c r="K56" s="32">
        <f>0</f>
        <v>0</v>
      </c>
      <c r="L56" s="32">
        <f>0</f>
        <v>0</v>
      </c>
      <c r="M56" s="32">
        <f>0</f>
        <v>0</v>
      </c>
      <c r="N56" s="32">
        <f>0</f>
        <v>0</v>
      </c>
      <c r="O56" s="32">
        <f>0</f>
        <v>0</v>
      </c>
      <c r="P56" s="32">
        <f>0</f>
        <v>0</v>
      </c>
      <c r="Q56" s="32">
        <f>0</f>
        <v>0</v>
      </c>
      <c r="R56" s="32">
        <f>0</f>
        <v>0</v>
      </c>
      <c r="S56" s="32">
        <f>0</f>
        <v>0</v>
      </c>
      <c r="T56" s="32">
        <f>0</f>
        <v>0</v>
      </c>
      <c r="U56" s="32">
        <f>0</f>
        <v>0</v>
      </c>
      <c r="V56" s="32">
        <f>0</f>
        <v>0</v>
      </c>
      <c r="W56" s="32">
        <f>0</f>
        <v>0</v>
      </c>
      <c r="X56" s="32">
        <f>0</f>
        <v>0</v>
      </c>
      <c r="Y56" s="32">
        <f>0</f>
        <v>0</v>
      </c>
      <c r="Z56" s="32">
        <f>0</f>
        <v>0</v>
      </c>
      <c r="AA56" s="32">
        <f>0</f>
        <v>0</v>
      </c>
      <c r="AB56" s="32">
        <f>0</f>
        <v>0</v>
      </c>
      <c r="AC56" s="32">
        <f>7497</f>
        <v>7497</v>
      </c>
      <c r="AD56" s="32">
        <f>12172</f>
        <v>12172</v>
      </c>
    </row>
    <row r="57" spans="1:30" x14ac:dyDescent="0.2">
      <c r="A57" s="5" t="s">
        <v>208</v>
      </c>
      <c r="B57" s="32">
        <v>19</v>
      </c>
      <c r="C57" s="32">
        <v>98</v>
      </c>
      <c r="D57" s="32">
        <v>272</v>
      </c>
      <c r="E57" s="32">
        <v>226</v>
      </c>
      <c r="F57" s="32">
        <v>402</v>
      </c>
      <c r="G57" s="32">
        <v>826</v>
      </c>
      <c r="H57" s="32">
        <v>650</v>
      </c>
      <c r="I57" s="32">
        <v>1456</v>
      </c>
      <c r="J57" s="32">
        <v>1249</v>
      </c>
      <c r="K57" s="32">
        <v>1810</v>
      </c>
      <c r="L57" s="32">
        <v>1096</v>
      </c>
      <c r="M57" s="32">
        <v>1557</v>
      </c>
      <c r="N57" s="32">
        <v>1173</v>
      </c>
      <c r="O57" s="32">
        <v>2941</v>
      </c>
      <c r="P57" s="32">
        <v>2428</v>
      </c>
      <c r="Q57" s="32">
        <v>1599</v>
      </c>
      <c r="R57" s="32">
        <v>6551</v>
      </c>
      <c r="S57" s="32">
        <v>6463</v>
      </c>
      <c r="T57" s="32">
        <v>7342</v>
      </c>
      <c r="U57" s="32">
        <v>7930</v>
      </c>
      <c r="V57" s="32">
        <v>8376</v>
      </c>
      <c r="W57" s="32">
        <v>7428</v>
      </c>
      <c r="X57" s="32">
        <v>7745</v>
      </c>
      <c r="Y57" s="32">
        <v>7513</v>
      </c>
      <c r="Z57" s="32">
        <v>6695</v>
      </c>
      <c r="AA57" s="32">
        <v>3578</v>
      </c>
      <c r="AB57" s="32">
        <f>4592</f>
        <v>4592</v>
      </c>
      <c r="AC57" s="32">
        <f>6997</f>
        <v>6997</v>
      </c>
      <c r="AD57" s="32">
        <f>8356</f>
        <v>8356</v>
      </c>
    </row>
    <row r="58" spans="1:30" x14ac:dyDescent="0.2">
      <c r="A58" s="34" t="s">
        <v>209</v>
      </c>
      <c r="B58" s="75">
        <v>7881</v>
      </c>
      <c r="C58" s="75">
        <v>8679</v>
      </c>
      <c r="D58" s="75">
        <v>7829</v>
      </c>
      <c r="E58" s="75">
        <v>14082</v>
      </c>
      <c r="F58" s="75">
        <v>12254</v>
      </c>
      <c r="G58" s="75">
        <v>11876</v>
      </c>
      <c r="H58" s="75">
        <v>11469</v>
      </c>
      <c r="I58" s="75">
        <v>16835</v>
      </c>
      <c r="J58" s="75">
        <v>18760</v>
      </c>
      <c r="K58" s="75">
        <v>15988</v>
      </c>
      <c r="L58" s="75">
        <v>14765</v>
      </c>
      <c r="M58" s="75">
        <v>14938</v>
      </c>
      <c r="N58" s="75">
        <v>19515</v>
      </c>
      <c r="O58" s="75">
        <v>27007</v>
      </c>
      <c r="P58" s="75">
        <v>25340</v>
      </c>
      <c r="Q58" s="75">
        <v>21274</v>
      </c>
      <c r="R58" s="75">
        <v>42977</v>
      </c>
      <c r="S58" s="75">
        <v>52064</v>
      </c>
      <c r="T58" s="75">
        <v>42559</v>
      </c>
      <c r="U58" s="75">
        <v>69429</v>
      </c>
      <c r="V58" s="75">
        <v>86853</v>
      </c>
      <c r="W58" s="75">
        <v>105907</v>
      </c>
      <c r="X58" s="75">
        <v>107522</v>
      </c>
      <c r="Y58" s="75">
        <v>104867</v>
      </c>
      <c r="Z58" s="75">
        <v>98679</v>
      </c>
      <c r="AA58" s="75">
        <v>93801</v>
      </c>
      <c r="AB58" s="75">
        <f>133574</f>
        <v>133574</v>
      </c>
      <c r="AC58" s="75">
        <f>SUM(AC51:AC52,AC55:AC57)</f>
        <v>158086</v>
      </c>
      <c r="AD58" s="75">
        <f>SUM(AD51:AD52,AD55:AD57)</f>
        <v>173570</v>
      </c>
    </row>
    <row r="59" spans="1:30" x14ac:dyDescent="0.2"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AB59" s="5"/>
      <c r="AC59" s="5"/>
      <c r="AD59" s="5"/>
    </row>
    <row r="60" spans="1:30" x14ac:dyDescent="0.2">
      <c r="A60" s="41" t="s">
        <v>210</v>
      </c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AB60" s="5"/>
      <c r="AC60" s="5"/>
      <c r="AD60" s="5"/>
    </row>
    <row r="61" spans="1:30" x14ac:dyDescent="0.2">
      <c r="A61" s="5" t="s">
        <v>203</v>
      </c>
      <c r="B61" s="32">
        <v>1632</v>
      </c>
      <c r="C61" s="32">
        <v>1950</v>
      </c>
      <c r="D61" s="32">
        <v>3375</v>
      </c>
      <c r="E61" s="32">
        <v>3825</v>
      </c>
      <c r="F61" s="32">
        <v>2359</v>
      </c>
      <c r="G61" s="32">
        <v>3043</v>
      </c>
      <c r="H61" s="32">
        <v>4689</v>
      </c>
      <c r="I61" s="32">
        <v>3880</v>
      </c>
      <c r="J61" s="32">
        <v>5141</v>
      </c>
      <c r="K61" s="32">
        <v>6276</v>
      </c>
      <c r="L61" s="32">
        <v>8720</v>
      </c>
      <c r="M61" s="32">
        <v>5639</v>
      </c>
      <c r="N61" s="32">
        <v>4051</v>
      </c>
      <c r="O61" s="32">
        <v>2569</v>
      </c>
      <c r="P61" s="32">
        <v>2133</v>
      </c>
      <c r="Q61" s="32">
        <v>3353</v>
      </c>
      <c r="R61" s="32">
        <v>7229</v>
      </c>
      <c r="S61" s="32">
        <v>10434</v>
      </c>
      <c r="T61" s="32">
        <v>15161</v>
      </c>
      <c r="U61" s="32">
        <v>15869</v>
      </c>
      <c r="V61" s="32">
        <v>9985</v>
      </c>
      <c r="W61" s="32">
        <v>16306</v>
      </c>
      <c r="X61" s="32">
        <v>20968</v>
      </c>
      <c r="Y61" s="32">
        <v>19118</v>
      </c>
      <c r="Z61" s="32">
        <v>17349</v>
      </c>
      <c r="AA61" s="32">
        <v>36499</v>
      </c>
      <c r="AB61" s="32">
        <v>20181</v>
      </c>
      <c r="AC61" s="32">
        <f>44820</f>
        <v>44820</v>
      </c>
      <c r="AD61" s="32">
        <f>58199</f>
        <v>58199</v>
      </c>
    </row>
    <row r="62" spans="1:30" x14ac:dyDescent="0.2">
      <c r="A62" s="5" t="s">
        <v>204</v>
      </c>
      <c r="B62" s="32">
        <v>13487</v>
      </c>
      <c r="C62" s="32">
        <v>13539</v>
      </c>
      <c r="D62" s="32">
        <v>14570</v>
      </c>
      <c r="E62" s="32">
        <v>16966</v>
      </c>
      <c r="F62" s="32">
        <v>18399</v>
      </c>
      <c r="G62" s="32">
        <v>22300</v>
      </c>
      <c r="H62" s="32">
        <v>32436</v>
      </c>
      <c r="I62" s="32">
        <v>21460</v>
      </c>
      <c r="J62" s="32">
        <v>18451</v>
      </c>
      <c r="K62" s="32">
        <v>25630</v>
      </c>
      <c r="L62" s="32">
        <v>34375</v>
      </c>
      <c r="M62" s="32">
        <v>33666</v>
      </c>
      <c r="N62" s="32">
        <v>41773</v>
      </c>
      <c r="O62" s="32">
        <v>40569</v>
      </c>
      <c r="P62" s="32">
        <v>50512</v>
      </c>
      <c r="Q62" s="32">
        <v>43658</v>
      </c>
      <c r="R62" s="32">
        <v>60520</v>
      </c>
      <c r="S62" s="32">
        <v>55581</v>
      </c>
      <c r="T62" s="32">
        <v>53142</v>
      </c>
      <c r="U62" s="32">
        <v>49750</v>
      </c>
      <c r="V62" s="32">
        <v>42788</v>
      </c>
      <c r="W62" s="32">
        <v>38007</v>
      </c>
      <c r="X62" s="32">
        <v>52835</v>
      </c>
      <c r="Y62" s="32">
        <f t="shared" ref="Y62:AD62" si="1">Y63+Y64</f>
        <v>40572</v>
      </c>
      <c r="Z62" s="32">
        <f t="shared" si="1"/>
        <v>53440</v>
      </c>
      <c r="AA62" s="32">
        <f t="shared" si="1"/>
        <v>49977</v>
      </c>
      <c r="AB62" s="32">
        <f t="shared" si="1"/>
        <v>41806</v>
      </c>
      <c r="AC62" s="32">
        <f t="shared" si="1"/>
        <v>42935</v>
      </c>
      <c r="AD62" s="32">
        <f t="shared" si="1"/>
        <v>46299</v>
      </c>
    </row>
    <row r="63" spans="1:30" x14ac:dyDescent="0.2">
      <c r="A63" s="99" t="s">
        <v>205</v>
      </c>
      <c r="B63" s="98">
        <v>13487</v>
      </c>
      <c r="C63" s="98">
        <v>13539</v>
      </c>
      <c r="D63" s="98">
        <v>14570</v>
      </c>
      <c r="E63" s="98">
        <v>16966</v>
      </c>
      <c r="F63" s="98">
        <v>18399</v>
      </c>
      <c r="G63" s="98">
        <v>22300</v>
      </c>
      <c r="H63" s="98">
        <v>32436</v>
      </c>
      <c r="I63" s="98">
        <v>21460</v>
      </c>
      <c r="J63" s="98">
        <v>18451</v>
      </c>
      <c r="K63" s="98">
        <v>25630</v>
      </c>
      <c r="L63" s="98">
        <v>34375</v>
      </c>
      <c r="M63" s="98">
        <v>33666</v>
      </c>
      <c r="N63" s="98">
        <v>41773</v>
      </c>
      <c r="O63" s="98">
        <v>14920</v>
      </c>
      <c r="P63" s="98">
        <v>16371</v>
      </c>
      <c r="Q63" s="98">
        <v>16727</v>
      </c>
      <c r="R63" s="98">
        <v>19918</v>
      </c>
      <c r="S63" s="98">
        <v>19142</v>
      </c>
      <c r="T63" s="98">
        <v>19913</v>
      </c>
      <c r="U63" s="98">
        <v>21216</v>
      </c>
      <c r="V63" s="98">
        <v>20703</v>
      </c>
      <c r="W63" s="98">
        <v>23692</v>
      </c>
      <c r="X63" s="98">
        <v>36013</v>
      </c>
      <c r="Y63" s="98">
        <v>28527</v>
      </c>
      <c r="Z63" s="98">
        <f>39877</f>
        <v>39877</v>
      </c>
      <c r="AA63" s="98">
        <f>41380</f>
        <v>41380</v>
      </c>
      <c r="AB63" s="98">
        <f>29673</f>
        <v>29673</v>
      </c>
      <c r="AC63" s="98">
        <f>29489</f>
        <v>29489</v>
      </c>
      <c r="AD63" s="98">
        <f>31884</f>
        <v>31884</v>
      </c>
    </row>
    <row r="64" spans="1:30" x14ac:dyDescent="0.2">
      <c r="A64" s="99" t="s">
        <v>206</v>
      </c>
      <c r="B64" s="98"/>
      <c r="C64" s="98">
        <v>0</v>
      </c>
      <c r="D64" s="98"/>
      <c r="E64" s="98">
        <v>0</v>
      </c>
      <c r="F64" s="98"/>
      <c r="G64" s="98">
        <v>0</v>
      </c>
      <c r="H64" s="98"/>
      <c r="I64" s="98">
        <v>0</v>
      </c>
      <c r="J64" s="98"/>
      <c r="K64" s="98">
        <v>0</v>
      </c>
      <c r="L64" s="98"/>
      <c r="M64" s="98">
        <v>0</v>
      </c>
      <c r="N64" s="98"/>
      <c r="O64" s="98">
        <v>25649</v>
      </c>
      <c r="P64" s="98">
        <v>34141</v>
      </c>
      <c r="Q64" s="98">
        <v>26931</v>
      </c>
      <c r="R64" s="98">
        <v>40602</v>
      </c>
      <c r="S64" s="98">
        <v>36439</v>
      </c>
      <c r="T64" s="98">
        <v>33229</v>
      </c>
      <c r="U64" s="98">
        <v>28351</v>
      </c>
      <c r="V64" s="98">
        <v>22085</v>
      </c>
      <c r="W64" s="98">
        <v>14157</v>
      </c>
      <c r="X64" s="98">
        <v>14948</v>
      </c>
      <c r="Y64" s="98">
        <v>12045</v>
      </c>
      <c r="Z64" s="98">
        <v>13563</v>
      </c>
      <c r="AA64" s="98">
        <f>8597</f>
        <v>8597</v>
      </c>
      <c r="AB64" s="98">
        <f>12133</f>
        <v>12133</v>
      </c>
      <c r="AC64" s="98">
        <f>13446</f>
        <v>13446</v>
      </c>
      <c r="AD64" s="98">
        <f>14415</f>
        <v>14415</v>
      </c>
    </row>
    <row r="65" spans="1:30" x14ac:dyDescent="0.2">
      <c r="A65" s="5" t="s">
        <v>207</v>
      </c>
      <c r="B65" s="32">
        <v>1045</v>
      </c>
      <c r="C65" s="32">
        <v>1560</v>
      </c>
      <c r="D65" s="32">
        <v>1166</v>
      </c>
      <c r="E65" s="32">
        <v>580</v>
      </c>
      <c r="F65" s="32">
        <v>267</v>
      </c>
      <c r="G65" s="32">
        <v>1665</v>
      </c>
      <c r="H65" s="32">
        <v>1339</v>
      </c>
      <c r="I65" s="32">
        <v>2234</v>
      </c>
      <c r="J65" s="32">
        <v>1636</v>
      </c>
      <c r="K65" s="32">
        <v>3546</v>
      </c>
      <c r="L65" s="32">
        <v>1860</v>
      </c>
      <c r="M65" s="32">
        <v>1748</v>
      </c>
      <c r="N65" s="32">
        <v>1494</v>
      </c>
      <c r="O65" s="32">
        <v>1863</v>
      </c>
      <c r="P65" s="32">
        <v>1226</v>
      </c>
      <c r="Q65" s="32">
        <v>961</v>
      </c>
      <c r="R65" s="32">
        <v>677</v>
      </c>
      <c r="S65" s="32">
        <v>689</v>
      </c>
      <c r="T65" s="32">
        <v>622</v>
      </c>
      <c r="U65" s="32">
        <v>398</v>
      </c>
      <c r="V65" s="32">
        <v>865</v>
      </c>
      <c r="W65" s="32">
        <v>518</v>
      </c>
      <c r="X65" s="32">
        <v>1272</v>
      </c>
      <c r="Y65" s="32">
        <v>9058</v>
      </c>
      <c r="Z65" s="95">
        <v>8741</v>
      </c>
      <c r="AA65" s="95">
        <v>7915</v>
      </c>
      <c r="AB65" s="95">
        <f>8167</f>
        <v>8167</v>
      </c>
      <c r="AC65" s="95">
        <f>11960</f>
        <v>11960</v>
      </c>
      <c r="AD65" s="95">
        <f>13244</f>
        <v>13244</v>
      </c>
    </row>
    <row r="66" spans="1:30" x14ac:dyDescent="0.2">
      <c r="A66" s="5" t="s">
        <v>208</v>
      </c>
      <c r="B66" s="100" t="s">
        <v>31</v>
      </c>
      <c r="C66" s="100" t="s">
        <v>31</v>
      </c>
      <c r="D66" s="100" t="s">
        <v>31</v>
      </c>
      <c r="E66" s="100" t="s">
        <v>31</v>
      </c>
      <c r="F66" s="100" t="s">
        <v>31</v>
      </c>
      <c r="G66" s="100" t="s">
        <v>31</v>
      </c>
      <c r="H66" s="100" t="s">
        <v>31</v>
      </c>
      <c r="I66" s="100" t="s">
        <v>31</v>
      </c>
      <c r="J66" s="100" t="s">
        <v>31</v>
      </c>
      <c r="K66" s="100" t="s">
        <v>31</v>
      </c>
      <c r="L66" s="100" t="s">
        <v>31</v>
      </c>
      <c r="M66" s="100" t="s">
        <v>31</v>
      </c>
      <c r="N66" s="100" t="s">
        <v>31</v>
      </c>
      <c r="O66" s="100" t="s">
        <v>31</v>
      </c>
      <c r="P66" s="100" t="s">
        <v>31</v>
      </c>
      <c r="Q66" s="100" t="s">
        <v>31</v>
      </c>
      <c r="R66" s="100" t="s">
        <v>31</v>
      </c>
      <c r="S66" s="100" t="s">
        <v>31</v>
      </c>
      <c r="T66" s="100" t="s">
        <v>31</v>
      </c>
      <c r="U66" s="32">
        <v>183</v>
      </c>
      <c r="V66" s="32">
        <v>375</v>
      </c>
      <c r="W66" s="32">
        <v>158</v>
      </c>
      <c r="X66" s="32">
        <v>602</v>
      </c>
      <c r="Y66" s="32">
        <v>241</v>
      </c>
      <c r="Z66" s="95">
        <v>994</v>
      </c>
      <c r="AA66" s="95">
        <v>1308</v>
      </c>
      <c r="AB66" s="95">
        <f>463</f>
        <v>463</v>
      </c>
      <c r="AC66" s="95">
        <f>744</f>
        <v>744</v>
      </c>
      <c r="AD66" s="95">
        <f>1012</f>
        <v>1012</v>
      </c>
    </row>
    <row r="67" spans="1:30" x14ac:dyDescent="0.2">
      <c r="A67" s="44" t="s">
        <v>211</v>
      </c>
      <c r="B67" s="96">
        <v>16164</v>
      </c>
      <c r="C67" s="96">
        <v>17049</v>
      </c>
      <c r="D67" s="96">
        <v>19111</v>
      </c>
      <c r="E67" s="96">
        <v>21371</v>
      </c>
      <c r="F67" s="96">
        <v>21025</v>
      </c>
      <c r="G67" s="96">
        <v>27008</v>
      </c>
      <c r="H67" s="96">
        <v>38464</v>
      </c>
      <c r="I67" s="96">
        <v>27574</v>
      </c>
      <c r="J67" s="96">
        <v>25228</v>
      </c>
      <c r="K67" s="96">
        <v>35452</v>
      </c>
      <c r="L67" s="96">
        <v>44955</v>
      </c>
      <c r="M67" s="96">
        <v>41053</v>
      </c>
      <c r="N67" s="96">
        <v>47318</v>
      </c>
      <c r="O67" s="96">
        <v>45001</v>
      </c>
      <c r="P67" s="96">
        <v>53871</v>
      </c>
      <c r="Q67" s="96">
        <v>47972</v>
      </c>
      <c r="R67" s="96">
        <v>68426</v>
      </c>
      <c r="S67" s="96">
        <v>66704</v>
      </c>
      <c r="T67" s="96">
        <v>68925</v>
      </c>
      <c r="U67" s="96">
        <v>66017</v>
      </c>
      <c r="V67" s="75">
        <v>54013</v>
      </c>
      <c r="W67" s="75">
        <v>54831</v>
      </c>
      <c r="X67" s="75">
        <f>SUM(X61:X62)</f>
        <v>73803</v>
      </c>
      <c r="Y67" s="75">
        <v>68989</v>
      </c>
      <c r="Z67" s="75">
        <v>80524</v>
      </c>
      <c r="AA67" s="75">
        <v>95699</v>
      </c>
      <c r="AB67" s="75">
        <f>70617</f>
        <v>70617</v>
      </c>
      <c r="AC67" s="75">
        <f>SUM(AC61:AC62,AC65:AC66)</f>
        <v>100459</v>
      </c>
      <c r="AD67" s="75">
        <f>SUM(AD61:AD62,AD65:AD66)</f>
        <v>118754</v>
      </c>
    </row>
    <row r="68" spans="1:30" x14ac:dyDescent="0.2">
      <c r="A68" s="42" t="s">
        <v>212</v>
      </c>
      <c r="B68" s="76">
        <v>52851</v>
      </c>
      <c r="C68" s="76">
        <v>58784</v>
      </c>
      <c r="D68" s="76">
        <v>62352</v>
      </c>
      <c r="E68" s="76">
        <v>73516</v>
      </c>
      <c r="F68" s="76">
        <v>74411</v>
      </c>
      <c r="G68" s="76">
        <v>83570</v>
      </c>
      <c r="H68" s="76">
        <v>95562</v>
      </c>
      <c r="I68" s="76">
        <v>96280</v>
      </c>
      <c r="J68" s="76">
        <v>96152</v>
      </c>
      <c r="K68" s="76">
        <v>106283</v>
      </c>
      <c r="L68" s="76">
        <v>114870</v>
      </c>
      <c r="M68" s="76">
        <v>114141</v>
      </c>
      <c r="N68" s="76">
        <v>125699</v>
      </c>
      <c r="O68" s="76">
        <v>134813</v>
      </c>
      <c r="P68" s="76">
        <v>138127</v>
      </c>
      <c r="Q68" s="76">
        <v>124537</v>
      </c>
      <c r="R68" s="76">
        <v>183817</v>
      </c>
      <c r="S68" s="76">
        <v>171344</v>
      </c>
      <c r="T68" s="76">
        <v>162289</v>
      </c>
      <c r="U68" s="76">
        <v>186519</v>
      </c>
      <c r="V68" s="97">
        <v>204237</v>
      </c>
      <c r="W68" s="97">
        <v>222098</v>
      </c>
      <c r="X68" s="97">
        <f>X67+X58+X48</f>
        <v>254552</v>
      </c>
      <c r="Y68" s="97">
        <v>248045</v>
      </c>
      <c r="Z68" s="97">
        <v>251350</v>
      </c>
      <c r="AA68" s="97">
        <v>260391</v>
      </c>
      <c r="AB68" s="97">
        <f>274393</f>
        <v>274393</v>
      </c>
      <c r="AC68" s="97">
        <f>SUM(AC48,AC58,AC67)</f>
        <v>323330</v>
      </c>
      <c r="AD68" s="97">
        <f>SUM(AD48,AD58,AD67)</f>
        <v>348169</v>
      </c>
    </row>
  </sheetData>
  <hyperlinks>
    <hyperlink ref="A3" location="Содержание!A1" display="К содержанию" xr:uid="{7882C087-5C48-471F-B2FE-0DA2E43D383A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90F952-FAE0-4B54-B2C2-5E4DC8A37B75}">
  <dimension ref="A2:AT75"/>
  <sheetViews>
    <sheetView showGridLines="0" zoomScaleNormal="100" workbookViewId="0">
      <pane xSplit="1" topLeftCell="AI1" activePane="topRight" state="frozen"/>
      <selection pane="topRight" activeCell="AV63" sqref="AV63"/>
    </sheetView>
  </sheetViews>
  <sheetFormatPr defaultColWidth="9.140625" defaultRowHeight="14.25" outlineLevelCol="1" x14ac:dyDescent="0.2"/>
  <cols>
    <col min="1" max="1" width="119" style="38" customWidth="1"/>
    <col min="2" max="15" width="9.28515625" style="5" bestFit="1" customWidth="1"/>
    <col min="16" max="16" width="9.140625" style="5"/>
    <col min="17" max="36" width="9.140625" style="5" customWidth="1" outlineLevel="1"/>
    <col min="37" max="38" width="9.28515625" style="5" customWidth="1" outlineLevel="1"/>
    <col min="39" max="40" width="9.28515625" style="5" bestFit="1" customWidth="1" outlineLevel="1"/>
    <col min="41" max="41" width="10.28515625" style="5" bestFit="1" customWidth="1" outlineLevel="1"/>
    <col min="42" max="42" width="8.28515625" style="5" bestFit="1" customWidth="1" outlineLevel="1"/>
    <col min="43" max="43" width="9.140625" style="38" outlineLevel="1"/>
    <col min="44" max="44" width="8.28515625" style="38" bestFit="1" customWidth="1" outlineLevel="1"/>
    <col min="45" max="45" width="9.140625" style="38" outlineLevel="1"/>
    <col min="46" max="16384" width="9.140625" style="38"/>
  </cols>
  <sheetData>
    <row r="2" spans="1:45" ht="18" x14ac:dyDescent="0.25">
      <c r="A2" s="51" t="s">
        <v>222</v>
      </c>
    </row>
    <row r="3" spans="1:45" ht="15" x14ac:dyDescent="0.25">
      <c r="A3" s="164" t="s">
        <v>44</v>
      </c>
    </row>
    <row r="5" spans="1:45" x14ac:dyDescent="0.2">
      <c r="A5" s="33" t="s">
        <v>57</v>
      </c>
      <c r="B5" s="71">
        <v>2011</v>
      </c>
      <c r="C5" s="71">
        <v>2012</v>
      </c>
      <c r="D5" s="71">
        <v>2013</v>
      </c>
      <c r="E5" s="71">
        <v>2014</v>
      </c>
      <c r="F5" s="71">
        <v>2015</v>
      </c>
      <c r="G5" s="71">
        <v>2016</v>
      </c>
      <c r="H5" s="71">
        <v>2017</v>
      </c>
      <c r="I5" s="71">
        <v>2018</v>
      </c>
      <c r="J5" s="71">
        <v>2019</v>
      </c>
      <c r="K5" s="71">
        <v>2020</v>
      </c>
      <c r="L5" s="71">
        <v>2021</v>
      </c>
      <c r="M5" s="71">
        <v>2022</v>
      </c>
      <c r="N5" s="71">
        <v>2023</v>
      </c>
      <c r="O5" s="71">
        <v>2024</v>
      </c>
      <c r="P5" s="72"/>
      <c r="Q5" s="73" t="s">
        <v>237</v>
      </c>
      <c r="R5" s="73" t="s">
        <v>238</v>
      </c>
      <c r="S5" s="73" t="s">
        <v>239</v>
      </c>
      <c r="T5" s="73" t="s">
        <v>240</v>
      </c>
      <c r="U5" s="73" t="s">
        <v>241</v>
      </c>
      <c r="V5" s="73" t="s">
        <v>242</v>
      </c>
      <c r="W5" s="73" t="s">
        <v>243</v>
      </c>
      <c r="X5" s="73" t="s">
        <v>244</v>
      </c>
      <c r="Y5" s="73" t="s">
        <v>245</v>
      </c>
      <c r="Z5" s="73" t="s">
        <v>246</v>
      </c>
      <c r="AA5" s="73" t="s">
        <v>247</v>
      </c>
      <c r="AB5" s="73" t="s">
        <v>248</v>
      </c>
      <c r="AC5" s="73" t="s">
        <v>249</v>
      </c>
      <c r="AD5" s="73" t="s">
        <v>250</v>
      </c>
      <c r="AE5" s="73" t="s">
        <v>251</v>
      </c>
      <c r="AF5" s="73" t="s">
        <v>252</v>
      </c>
      <c r="AG5" s="73" t="s">
        <v>253</v>
      </c>
      <c r="AH5" s="73" t="s">
        <v>254</v>
      </c>
      <c r="AI5" s="74" t="s">
        <v>255</v>
      </c>
      <c r="AJ5" s="74" t="s">
        <v>256</v>
      </c>
      <c r="AK5" s="74" t="s">
        <v>257</v>
      </c>
      <c r="AL5" s="74" t="s">
        <v>258</v>
      </c>
      <c r="AM5" s="74" t="s">
        <v>259</v>
      </c>
      <c r="AN5" s="74" t="s">
        <v>260</v>
      </c>
      <c r="AO5" s="74" t="s">
        <v>261</v>
      </c>
      <c r="AP5" s="74" t="s">
        <v>262</v>
      </c>
      <c r="AQ5" s="74" t="s">
        <v>396</v>
      </c>
      <c r="AR5" s="74" t="s">
        <v>405</v>
      </c>
      <c r="AS5" s="74" t="s">
        <v>470</v>
      </c>
    </row>
    <row r="6" spans="1:45" x14ac:dyDescent="0.2">
      <c r="A6" s="4" t="s">
        <v>223</v>
      </c>
      <c r="AQ6" s="5"/>
      <c r="AR6" s="5"/>
      <c r="AS6" s="5"/>
    </row>
    <row r="7" spans="1:45" x14ac:dyDescent="0.2">
      <c r="A7" s="45" t="s">
        <v>156</v>
      </c>
      <c r="B7" s="101">
        <f>SUM(Q7:R7)</f>
        <v>7440</v>
      </c>
      <c r="C7" s="101">
        <f>SUM(S7:T7)</f>
        <v>5000</v>
      </c>
      <c r="D7" s="101">
        <f>SUM(U7:V7)</f>
        <v>6664</v>
      </c>
      <c r="E7" s="101">
        <f>SUM(W7:X7)</f>
        <v>8369</v>
      </c>
      <c r="F7" s="101">
        <f>SUM(Y7:Z7)</f>
        <v>5429</v>
      </c>
      <c r="G7" s="101">
        <f>SUM(AA7:AB7)</f>
        <v>4902</v>
      </c>
      <c r="H7" s="101">
        <f>SUM(AC7:AD7)</f>
        <v>7893</v>
      </c>
      <c r="I7" s="101">
        <f>SUM(AE7:AF7)</f>
        <v>-700</v>
      </c>
      <c r="J7" s="101">
        <f>SUM(AG7:AH7)</f>
        <v>186</v>
      </c>
      <c r="K7" s="102">
        <f>SUM(AI7:AJ7)</f>
        <v>2036</v>
      </c>
      <c r="L7" s="102">
        <f>SUM(AK7:AL7)</f>
        <v>3007</v>
      </c>
      <c r="M7" s="102">
        <f>SUM(AM7:AN7)</f>
        <v>13001</v>
      </c>
      <c r="N7" s="102">
        <v>-3370</v>
      </c>
      <c r="O7" s="102">
        <f>-6914</f>
        <v>-6914</v>
      </c>
      <c r="Q7" s="101">
        <v>2751</v>
      </c>
      <c r="R7" s="101">
        <v>4689</v>
      </c>
      <c r="S7" s="101">
        <v>2369</v>
      </c>
      <c r="T7" s="101">
        <v>2631</v>
      </c>
      <c r="U7" s="101">
        <v>3098</v>
      </c>
      <c r="V7" s="101">
        <v>3566</v>
      </c>
      <c r="W7" s="101">
        <v>927</v>
      </c>
      <c r="X7" s="101">
        <v>7442</v>
      </c>
      <c r="Y7" s="101">
        <v>2193</v>
      </c>
      <c r="Z7" s="101">
        <v>3236</v>
      </c>
      <c r="AA7" s="101">
        <v>1308</v>
      </c>
      <c r="AB7" s="101">
        <v>3594</v>
      </c>
      <c r="AC7" s="101">
        <v>2122</v>
      </c>
      <c r="AD7" s="101">
        <v>5771</v>
      </c>
      <c r="AE7" s="101">
        <v>-1981</v>
      </c>
      <c r="AF7" s="101">
        <v>1281</v>
      </c>
      <c r="AG7" s="101">
        <v>559</v>
      </c>
      <c r="AH7" s="101">
        <v>-373</v>
      </c>
      <c r="AI7" s="78">
        <v>-1771</v>
      </c>
      <c r="AJ7" s="78">
        <v>3807</v>
      </c>
      <c r="AK7" s="102">
        <v>1295</v>
      </c>
      <c r="AL7" s="102">
        <v>1712</v>
      </c>
      <c r="AM7" s="102">
        <v>11672</v>
      </c>
      <c r="AN7" s="102">
        <v>1329</v>
      </c>
      <c r="AO7" s="102">
        <v>-2119</v>
      </c>
      <c r="AP7" s="102">
        <f>N7-AO7</f>
        <v>-1251</v>
      </c>
      <c r="AQ7" s="102">
        <f>-1497</f>
        <v>-1497</v>
      </c>
      <c r="AR7" s="102">
        <f>O7-AQ7</f>
        <v>-5417</v>
      </c>
      <c r="AS7" s="102">
        <f>-8940</f>
        <v>-8940</v>
      </c>
    </row>
    <row r="8" spans="1:45" x14ac:dyDescent="0.2">
      <c r="A8" s="46"/>
      <c r="B8" s="32"/>
      <c r="C8" s="32"/>
      <c r="D8" s="32"/>
      <c r="E8" s="32"/>
      <c r="F8" s="32"/>
      <c r="G8" s="32"/>
      <c r="H8" s="32"/>
      <c r="I8" s="32"/>
      <c r="J8" s="32"/>
      <c r="K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Q8" s="5"/>
      <c r="AR8" s="5"/>
      <c r="AS8" s="5"/>
    </row>
    <row r="9" spans="1:45" x14ac:dyDescent="0.2">
      <c r="A9" s="47" t="s">
        <v>224</v>
      </c>
      <c r="B9" s="32"/>
      <c r="C9" s="32"/>
      <c r="D9" s="32"/>
      <c r="E9" s="32"/>
      <c r="F9" s="32"/>
      <c r="G9" s="32"/>
      <c r="H9" s="32"/>
      <c r="I9" s="32"/>
      <c r="J9" s="32"/>
      <c r="K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Q9" s="5"/>
      <c r="AR9" s="5"/>
      <c r="AS9" s="5"/>
    </row>
    <row r="10" spans="1:45" x14ac:dyDescent="0.2">
      <c r="A10" s="5" t="s">
        <v>225</v>
      </c>
      <c r="B10" s="32">
        <f t="shared" ref="B10:B44" si="0">SUM(Q10:R10)</f>
        <v>265</v>
      </c>
      <c r="C10" s="32">
        <f t="shared" ref="C10:C44" si="1">SUM(S10:T10)</f>
        <v>417</v>
      </c>
      <c r="D10" s="32">
        <f t="shared" ref="D10:D44" si="2">SUM(U10:V10)</f>
        <v>343</v>
      </c>
      <c r="E10" s="32">
        <f t="shared" ref="E10:E44" si="3">SUM(W10:X10)</f>
        <v>417</v>
      </c>
      <c r="F10" s="32">
        <f t="shared" ref="F10:F44" si="4">SUM(Y10:Z10)</f>
        <v>406</v>
      </c>
      <c r="G10" s="32">
        <f t="shared" ref="G10:G44" si="5">SUM(AA10:AB10)</f>
        <v>434</v>
      </c>
      <c r="H10" s="32">
        <f t="shared" ref="H10:H44" si="6">SUM(AC10:AD10)</f>
        <v>340</v>
      </c>
      <c r="I10" s="32">
        <f t="shared" ref="I10:I44" si="7">SUM(AE10:AF10)</f>
        <v>365</v>
      </c>
      <c r="J10" s="32">
        <f t="shared" ref="J10:J44" si="8">SUM(AG10:AH10)</f>
        <v>542</v>
      </c>
      <c r="K10" s="32">
        <f t="shared" ref="K10:K44" si="9">SUM(AI10:AJ10)</f>
        <v>481</v>
      </c>
      <c r="L10" s="32">
        <f>SUM(AK10:AL10)</f>
        <v>521</v>
      </c>
      <c r="M10" s="32">
        <f t="shared" ref="M10:O74" si="10">SUM(AM10:AN10)</f>
        <v>541</v>
      </c>
      <c r="N10" s="32">
        <v>797</v>
      </c>
      <c r="O10" s="32">
        <f>911</f>
        <v>911</v>
      </c>
      <c r="Q10" s="32">
        <v>127</v>
      </c>
      <c r="R10" s="32">
        <v>138</v>
      </c>
      <c r="S10" s="32">
        <v>209</v>
      </c>
      <c r="T10" s="32">
        <v>208</v>
      </c>
      <c r="U10" s="32">
        <v>168</v>
      </c>
      <c r="V10" s="32">
        <v>175</v>
      </c>
      <c r="W10" s="32">
        <v>204</v>
      </c>
      <c r="X10" s="32">
        <v>213</v>
      </c>
      <c r="Y10" s="32">
        <v>213</v>
      </c>
      <c r="Z10" s="32">
        <v>193</v>
      </c>
      <c r="AA10" s="32">
        <v>240</v>
      </c>
      <c r="AB10" s="32">
        <v>194</v>
      </c>
      <c r="AC10" s="32">
        <v>172</v>
      </c>
      <c r="AD10" s="32">
        <v>168</v>
      </c>
      <c r="AE10" s="32">
        <v>169</v>
      </c>
      <c r="AF10" s="32">
        <v>196</v>
      </c>
      <c r="AG10" s="32">
        <v>270</v>
      </c>
      <c r="AH10" s="32">
        <v>272</v>
      </c>
      <c r="AI10" s="32">
        <v>385</v>
      </c>
      <c r="AJ10" s="32">
        <v>96</v>
      </c>
      <c r="AK10" s="32">
        <v>233</v>
      </c>
      <c r="AL10" s="32">
        <v>288</v>
      </c>
      <c r="AM10" s="32">
        <v>273</v>
      </c>
      <c r="AN10" s="32">
        <v>268</v>
      </c>
      <c r="AO10" s="32">
        <f>403</f>
        <v>403</v>
      </c>
      <c r="AP10" s="32">
        <f t="shared" ref="AP10:AP70" si="11">N10-AO10</f>
        <v>394</v>
      </c>
      <c r="AQ10" s="32">
        <f>450</f>
        <v>450</v>
      </c>
      <c r="AR10" s="32">
        <f t="shared" ref="AR10:AR69" si="12">O10-AQ10</f>
        <v>461</v>
      </c>
      <c r="AS10" s="32">
        <f>459</f>
        <v>459</v>
      </c>
    </row>
    <row r="11" spans="1:45" x14ac:dyDescent="0.2">
      <c r="A11" s="5" t="s">
        <v>226</v>
      </c>
      <c r="B11" s="32">
        <f t="shared" si="0"/>
        <v>-92</v>
      </c>
      <c r="C11" s="32">
        <f t="shared" si="1"/>
        <v>-49</v>
      </c>
      <c r="D11" s="32">
        <f t="shared" si="2"/>
        <v>-15</v>
      </c>
      <c r="E11" s="32">
        <f t="shared" si="3"/>
        <v>-52</v>
      </c>
      <c r="F11" s="32">
        <f t="shared" si="4"/>
        <v>-65</v>
      </c>
      <c r="G11" s="32">
        <f t="shared" si="5"/>
        <v>-52</v>
      </c>
      <c r="H11" s="32">
        <f t="shared" si="6"/>
        <v>-113</v>
      </c>
      <c r="I11" s="32">
        <f t="shared" si="7"/>
        <v>8</v>
      </c>
      <c r="J11" s="32">
        <f t="shared" si="8"/>
        <v>-274</v>
      </c>
      <c r="K11" s="32">
        <f t="shared" si="9"/>
        <v>-51</v>
      </c>
      <c r="L11" s="32">
        <f>SUM(AK11:AL11)</f>
        <v>-162</v>
      </c>
      <c r="M11" s="32">
        <f t="shared" si="10"/>
        <v>90</v>
      </c>
      <c r="N11" s="32">
        <v>-214</v>
      </c>
      <c r="O11" s="32">
        <f>-282</f>
        <v>-282</v>
      </c>
      <c r="Q11" s="32">
        <v>-59</v>
      </c>
      <c r="R11" s="32">
        <v>-33</v>
      </c>
      <c r="S11" s="32">
        <v>-27</v>
      </c>
      <c r="T11" s="32">
        <v>-22</v>
      </c>
      <c r="U11" s="32">
        <v>-27</v>
      </c>
      <c r="V11" s="32">
        <v>12</v>
      </c>
      <c r="W11" s="32">
        <v>-46</v>
      </c>
      <c r="X11" s="32">
        <v>-6</v>
      </c>
      <c r="Y11" s="32">
        <v>20</v>
      </c>
      <c r="Z11" s="32">
        <v>-85</v>
      </c>
      <c r="AA11" s="32">
        <v>-7</v>
      </c>
      <c r="AB11" s="32">
        <v>-45</v>
      </c>
      <c r="AC11" s="32">
        <v>-51</v>
      </c>
      <c r="AD11" s="32">
        <v>-62</v>
      </c>
      <c r="AE11" s="32">
        <v>7</v>
      </c>
      <c r="AF11" s="32">
        <v>1</v>
      </c>
      <c r="AG11" s="32">
        <v>-14</v>
      </c>
      <c r="AH11" s="32">
        <v>-260</v>
      </c>
      <c r="AI11" s="32">
        <v>-25</v>
      </c>
      <c r="AJ11" s="32">
        <v>-26</v>
      </c>
      <c r="AK11" s="32">
        <v>-108</v>
      </c>
      <c r="AL11" s="32">
        <v>-54</v>
      </c>
      <c r="AM11" s="32">
        <v>60</v>
      </c>
      <c r="AN11" s="32">
        <v>30</v>
      </c>
      <c r="AO11" s="32">
        <v>-197</v>
      </c>
      <c r="AP11" s="32">
        <f t="shared" si="11"/>
        <v>-17</v>
      </c>
      <c r="AQ11" s="32">
        <f>-41</f>
        <v>-41</v>
      </c>
      <c r="AR11" s="32">
        <f t="shared" si="12"/>
        <v>-241</v>
      </c>
      <c r="AS11" s="32">
        <f>-54</f>
        <v>-54</v>
      </c>
    </row>
    <row r="12" spans="1:45" x14ac:dyDescent="0.2">
      <c r="A12" s="5" t="s">
        <v>398</v>
      </c>
      <c r="B12" s="32">
        <f t="shared" si="0"/>
        <v>0</v>
      </c>
      <c r="C12" s="32">
        <f t="shared" si="1"/>
        <v>0</v>
      </c>
      <c r="D12" s="32">
        <f t="shared" si="2"/>
        <v>0</v>
      </c>
      <c r="E12" s="32">
        <f t="shared" si="3"/>
        <v>0</v>
      </c>
      <c r="F12" s="32">
        <f t="shared" si="4"/>
        <v>0</v>
      </c>
      <c r="G12" s="32">
        <f t="shared" si="5"/>
        <v>-267</v>
      </c>
      <c r="H12" s="32">
        <f t="shared" si="6"/>
        <v>-27</v>
      </c>
      <c r="I12" s="32">
        <f t="shared" si="7"/>
        <v>0</v>
      </c>
      <c r="J12" s="32">
        <f t="shared" si="8"/>
        <v>-13</v>
      </c>
      <c r="K12" s="32">
        <f t="shared" si="9"/>
        <v>-103</v>
      </c>
      <c r="L12" s="32">
        <f t="shared" ref="L12:L43" si="13">SUM(AK12:AL12)</f>
        <v>-279</v>
      </c>
      <c r="M12" s="32">
        <f t="shared" si="10"/>
        <v>3</v>
      </c>
      <c r="N12" s="32">
        <v>0</v>
      </c>
      <c r="O12" s="32">
        <f>-14</f>
        <v>-14</v>
      </c>
      <c r="Q12" s="32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2">
        <v>0</v>
      </c>
      <c r="Y12" s="32">
        <v>0</v>
      </c>
      <c r="Z12" s="32">
        <v>0</v>
      </c>
      <c r="AA12" s="32">
        <v>0</v>
      </c>
      <c r="AB12" s="32">
        <v>-267</v>
      </c>
      <c r="AC12" s="32">
        <v>-27</v>
      </c>
      <c r="AD12" s="32">
        <v>0</v>
      </c>
      <c r="AE12" s="32">
        <v>0</v>
      </c>
      <c r="AF12" s="32">
        <v>0</v>
      </c>
      <c r="AG12" s="32">
        <v>0</v>
      </c>
      <c r="AH12" s="32">
        <v>-13</v>
      </c>
      <c r="AI12" s="32">
        <v>-23</v>
      </c>
      <c r="AJ12" s="32">
        <v>-80</v>
      </c>
      <c r="AK12" s="32">
        <v>-178</v>
      </c>
      <c r="AL12" s="32">
        <v>-101</v>
      </c>
      <c r="AM12" s="32">
        <v>0</v>
      </c>
      <c r="AN12" s="32">
        <v>3</v>
      </c>
      <c r="AO12" s="32">
        <v>23</v>
      </c>
      <c r="AP12" s="32">
        <f t="shared" si="11"/>
        <v>-23</v>
      </c>
      <c r="AQ12" s="32">
        <f>-39</f>
        <v>-39</v>
      </c>
      <c r="AR12" s="32">
        <f t="shared" si="12"/>
        <v>25</v>
      </c>
      <c r="AS12" s="32">
        <f>-9</f>
        <v>-9</v>
      </c>
    </row>
    <row r="13" spans="1:45" x14ac:dyDescent="0.2">
      <c r="A13" s="5" t="s">
        <v>399</v>
      </c>
      <c r="B13" s="32">
        <f t="shared" si="0"/>
        <v>0</v>
      </c>
      <c r="C13" s="32">
        <f t="shared" si="1"/>
        <v>0</v>
      </c>
      <c r="D13" s="32">
        <f t="shared" si="2"/>
        <v>0</v>
      </c>
      <c r="E13" s="32">
        <f t="shared" si="3"/>
        <v>0</v>
      </c>
      <c r="F13" s="32">
        <f t="shared" si="4"/>
        <v>0</v>
      </c>
      <c r="G13" s="32">
        <f t="shared" si="5"/>
        <v>0</v>
      </c>
      <c r="H13" s="32">
        <f t="shared" si="6"/>
        <v>0</v>
      </c>
      <c r="I13" s="32">
        <f t="shared" si="7"/>
        <v>0</v>
      </c>
      <c r="J13" s="32">
        <f t="shared" si="8"/>
        <v>0</v>
      </c>
      <c r="K13" s="32">
        <f t="shared" si="9"/>
        <v>200</v>
      </c>
      <c r="L13" s="32">
        <f t="shared" si="13"/>
        <v>205</v>
      </c>
      <c r="M13" s="32">
        <f t="shared" si="10"/>
        <v>-51</v>
      </c>
      <c r="N13" s="32">
        <v>84</v>
      </c>
      <c r="O13" s="32">
        <f>-308</f>
        <v>-308</v>
      </c>
      <c r="Q13" s="32">
        <v>0</v>
      </c>
      <c r="R13" s="32">
        <v>0</v>
      </c>
      <c r="S13" s="32">
        <v>0</v>
      </c>
      <c r="T13" s="32">
        <v>0</v>
      </c>
      <c r="U13" s="32">
        <v>0</v>
      </c>
      <c r="V13" s="32">
        <v>0</v>
      </c>
      <c r="W13" s="32">
        <v>0</v>
      </c>
      <c r="X13" s="32">
        <v>0</v>
      </c>
      <c r="Y13" s="32">
        <v>0</v>
      </c>
      <c r="Z13" s="32">
        <v>0</v>
      </c>
      <c r="AA13" s="32">
        <v>0</v>
      </c>
      <c r="AB13" s="32">
        <v>0</v>
      </c>
      <c r="AC13" s="32">
        <v>0</v>
      </c>
      <c r="AD13" s="32">
        <v>0</v>
      </c>
      <c r="AE13" s="32">
        <v>0</v>
      </c>
      <c r="AF13" s="32">
        <v>0</v>
      </c>
      <c r="AG13" s="32">
        <v>0</v>
      </c>
      <c r="AH13" s="32">
        <v>0</v>
      </c>
      <c r="AI13" s="32">
        <v>0</v>
      </c>
      <c r="AJ13" s="32">
        <v>200</v>
      </c>
      <c r="AK13" s="32">
        <v>6</v>
      </c>
      <c r="AL13" s="32">
        <v>199</v>
      </c>
      <c r="AM13" s="32">
        <v>-55</v>
      </c>
      <c r="AN13" s="32">
        <v>4</v>
      </c>
      <c r="AO13" s="32">
        <f>0</f>
        <v>0</v>
      </c>
      <c r="AP13" s="32">
        <f t="shared" si="11"/>
        <v>84</v>
      </c>
      <c r="AQ13" s="32">
        <f>-6</f>
        <v>-6</v>
      </c>
      <c r="AR13" s="32">
        <f t="shared" si="12"/>
        <v>-302</v>
      </c>
      <c r="AS13" s="32">
        <f>-31</f>
        <v>-31</v>
      </c>
    </row>
    <row r="14" spans="1:45" x14ac:dyDescent="0.2">
      <c r="A14" s="5" t="s">
        <v>227</v>
      </c>
      <c r="B14" s="32">
        <f t="shared" si="0"/>
        <v>0</v>
      </c>
      <c r="C14" s="32">
        <f t="shared" si="1"/>
        <v>0</v>
      </c>
      <c r="D14" s="32">
        <f t="shared" si="2"/>
        <v>0</v>
      </c>
      <c r="E14" s="32">
        <f t="shared" si="3"/>
        <v>280</v>
      </c>
      <c r="F14" s="32">
        <f t="shared" si="4"/>
        <v>215</v>
      </c>
      <c r="G14" s="32">
        <f t="shared" si="5"/>
        <v>-41</v>
      </c>
      <c r="H14" s="32">
        <f t="shared" si="6"/>
        <v>0</v>
      </c>
      <c r="I14" s="32">
        <f t="shared" si="7"/>
        <v>0</v>
      </c>
      <c r="J14" s="32">
        <f t="shared" si="8"/>
        <v>0</v>
      </c>
      <c r="K14" s="32">
        <f t="shared" si="9"/>
        <v>0</v>
      </c>
      <c r="L14" s="32">
        <f t="shared" si="13"/>
        <v>0</v>
      </c>
      <c r="M14" s="32">
        <f t="shared" si="10"/>
        <v>0</v>
      </c>
      <c r="N14" s="32">
        <f t="shared" si="10"/>
        <v>0</v>
      </c>
      <c r="O14" s="32">
        <f>-169</f>
        <v>-169</v>
      </c>
      <c r="Q14" s="32">
        <v>0</v>
      </c>
      <c r="R14" s="32">
        <v>0</v>
      </c>
      <c r="S14" s="32">
        <v>0</v>
      </c>
      <c r="T14" s="32">
        <v>0</v>
      </c>
      <c r="U14" s="32">
        <v>0</v>
      </c>
      <c r="V14" s="32">
        <v>0</v>
      </c>
      <c r="W14" s="32">
        <v>60</v>
      </c>
      <c r="X14" s="32">
        <v>220</v>
      </c>
      <c r="Y14" s="32">
        <v>166</v>
      </c>
      <c r="Z14" s="32">
        <v>49</v>
      </c>
      <c r="AA14" s="32">
        <v>27</v>
      </c>
      <c r="AB14" s="32">
        <v>-68</v>
      </c>
      <c r="AC14" s="32">
        <v>0</v>
      </c>
      <c r="AD14" s="32">
        <v>0</v>
      </c>
      <c r="AE14" s="32">
        <v>0</v>
      </c>
      <c r="AF14" s="32">
        <v>0</v>
      </c>
      <c r="AG14" s="32">
        <v>0</v>
      </c>
      <c r="AH14" s="32">
        <v>0</v>
      </c>
      <c r="AI14" s="32">
        <v>0</v>
      </c>
      <c r="AJ14" s="32">
        <v>0</v>
      </c>
      <c r="AK14" s="32">
        <v>0</v>
      </c>
      <c r="AL14" s="32">
        <v>0</v>
      </c>
      <c r="AM14" s="32">
        <v>0</v>
      </c>
      <c r="AN14" s="32">
        <v>0</v>
      </c>
      <c r="AO14" s="32">
        <v>0</v>
      </c>
      <c r="AP14" s="32">
        <f t="shared" si="11"/>
        <v>0</v>
      </c>
      <c r="AQ14" s="32">
        <f>0</f>
        <v>0</v>
      </c>
      <c r="AR14" s="32">
        <f t="shared" si="12"/>
        <v>-169</v>
      </c>
      <c r="AS14" s="32">
        <f>0</f>
        <v>0</v>
      </c>
    </row>
    <row r="15" spans="1:45" x14ac:dyDescent="0.2">
      <c r="A15" s="5" t="s">
        <v>407</v>
      </c>
      <c r="B15" s="32">
        <f>0</f>
        <v>0</v>
      </c>
      <c r="C15" s="32">
        <f>0</f>
        <v>0</v>
      </c>
      <c r="D15" s="32">
        <f>0</f>
        <v>0</v>
      </c>
      <c r="E15" s="32">
        <f>0</f>
        <v>0</v>
      </c>
      <c r="F15" s="32">
        <f>0</f>
        <v>0</v>
      </c>
      <c r="G15" s="32">
        <f>0</f>
        <v>0</v>
      </c>
      <c r="H15" s="32">
        <f>0</f>
        <v>0</v>
      </c>
      <c r="I15" s="32">
        <f>0</f>
        <v>0</v>
      </c>
      <c r="J15" s="32">
        <f>0</f>
        <v>0</v>
      </c>
      <c r="K15" s="32">
        <f>0</f>
        <v>0</v>
      </c>
      <c r="L15" s="32">
        <f>0</f>
        <v>0</v>
      </c>
      <c r="M15" s="32">
        <f>0</f>
        <v>0</v>
      </c>
      <c r="N15" s="32">
        <f>0</f>
        <v>0</v>
      </c>
      <c r="O15" s="32">
        <f>168</f>
        <v>168</v>
      </c>
      <c r="Q15" s="32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2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2">
        <v>0</v>
      </c>
      <c r="AI15" s="32">
        <v>0</v>
      </c>
      <c r="AJ15" s="32">
        <v>0</v>
      </c>
      <c r="AK15" s="32">
        <v>0</v>
      </c>
      <c r="AL15" s="32">
        <v>0</v>
      </c>
      <c r="AM15" s="32">
        <v>0</v>
      </c>
      <c r="AN15" s="32">
        <v>0</v>
      </c>
      <c r="AO15" s="32">
        <v>0</v>
      </c>
      <c r="AP15" s="32">
        <v>0</v>
      </c>
      <c r="AQ15" s="32">
        <v>0</v>
      </c>
      <c r="AR15" s="32">
        <f t="shared" si="12"/>
        <v>168</v>
      </c>
      <c r="AS15" s="95">
        <f>28</f>
        <v>28</v>
      </c>
    </row>
    <row r="16" spans="1:45" x14ac:dyDescent="0.2">
      <c r="A16" s="5" t="s">
        <v>474</v>
      </c>
      <c r="B16" s="32">
        <f t="shared" si="0"/>
        <v>0</v>
      </c>
      <c r="C16" s="32">
        <f t="shared" si="1"/>
        <v>0</v>
      </c>
      <c r="D16" s="32">
        <f t="shared" si="2"/>
        <v>0</v>
      </c>
      <c r="E16" s="32">
        <f t="shared" si="3"/>
        <v>466</v>
      </c>
      <c r="F16" s="32">
        <f t="shared" si="4"/>
        <v>514</v>
      </c>
      <c r="G16" s="32">
        <f t="shared" si="5"/>
        <v>430</v>
      </c>
      <c r="H16" s="32">
        <f t="shared" si="6"/>
        <v>819</v>
      </c>
      <c r="I16" s="32">
        <f t="shared" si="7"/>
        <v>450</v>
      </c>
      <c r="J16" s="32">
        <f t="shared" si="8"/>
        <v>1287</v>
      </c>
      <c r="K16" s="32">
        <f t="shared" si="9"/>
        <v>676</v>
      </c>
      <c r="L16" s="32">
        <f t="shared" si="13"/>
        <v>2054</v>
      </c>
      <c r="M16" s="32">
        <f t="shared" si="10"/>
        <v>994</v>
      </c>
      <c r="N16" s="32">
        <v>-34</v>
      </c>
      <c r="O16" s="32">
        <f>863</f>
        <v>863</v>
      </c>
      <c r="Q16" s="32">
        <v>0</v>
      </c>
      <c r="R16" s="32">
        <v>0</v>
      </c>
      <c r="S16" s="32">
        <v>0</v>
      </c>
      <c r="T16" s="32">
        <v>0</v>
      </c>
      <c r="U16" s="32">
        <v>0</v>
      </c>
      <c r="V16" s="32">
        <v>0</v>
      </c>
      <c r="W16" s="32">
        <v>85</v>
      </c>
      <c r="X16" s="32">
        <v>381</v>
      </c>
      <c r="Y16" s="32">
        <v>30</v>
      </c>
      <c r="Z16" s="32">
        <v>484</v>
      </c>
      <c r="AA16" s="32">
        <v>290</v>
      </c>
      <c r="AB16" s="32">
        <v>140</v>
      </c>
      <c r="AC16" s="32">
        <v>170</v>
      </c>
      <c r="AD16" s="32">
        <v>649</v>
      </c>
      <c r="AE16" s="32">
        <v>1524</v>
      </c>
      <c r="AF16" s="32">
        <v>-1074</v>
      </c>
      <c r="AG16" s="32">
        <v>458</v>
      </c>
      <c r="AH16" s="32">
        <v>829</v>
      </c>
      <c r="AI16" s="32">
        <v>319</v>
      </c>
      <c r="AJ16" s="32">
        <v>357</v>
      </c>
      <c r="AK16" s="32">
        <v>1803</v>
      </c>
      <c r="AL16" s="32">
        <v>251</v>
      </c>
      <c r="AM16" s="32">
        <v>-842</v>
      </c>
      <c r="AN16" s="32">
        <v>1836</v>
      </c>
      <c r="AO16" s="32">
        <v>124</v>
      </c>
      <c r="AP16" s="32">
        <f t="shared" si="11"/>
        <v>-158</v>
      </c>
      <c r="AQ16" s="32">
        <f>1374</f>
        <v>1374</v>
      </c>
      <c r="AR16" s="32">
        <f t="shared" si="12"/>
        <v>-511</v>
      </c>
      <c r="AS16" s="32">
        <f>-2409</f>
        <v>-2409</v>
      </c>
    </row>
    <row r="17" spans="1:46" x14ac:dyDescent="0.2">
      <c r="A17" s="5" t="s">
        <v>475</v>
      </c>
      <c r="B17" s="32">
        <f t="shared" si="0"/>
        <v>0</v>
      </c>
      <c r="C17" s="32">
        <f t="shared" si="1"/>
        <v>0</v>
      </c>
      <c r="D17" s="32">
        <f t="shared" si="2"/>
        <v>0</v>
      </c>
      <c r="E17" s="32">
        <f t="shared" si="3"/>
        <v>0</v>
      </c>
      <c r="F17" s="32">
        <f t="shared" si="4"/>
        <v>0</v>
      </c>
      <c r="G17" s="32">
        <f t="shared" si="5"/>
        <v>0</v>
      </c>
      <c r="H17" s="32">
        <f t="shared" si="6"/>
        <v>673</v>
      </c>
      <c r="I17" s="32">
        <f t="shared" si="7"/>
        <v>900</v>
      </c>
      <c r="J17" s="32">
        <f t="shared" si="8"/>
        <v>578</v>
      </c>
      <c r="K17" s="32">
        <f t="shared" si="9"/>
        <v>418</v>
      </c>
      <c r="L17" s="32">
        <f t="shared" si="13"/>
        <v>327</v>
      </c>
      <c r="M17" s="32">
        <f t="shared" si="10"/>
        <v>898</v>
      </c>
      <c r="N17" s="32">
        <v>829</v>
      </c>
      <c r="O17" s="32">
        <f>547</f>
        <v>547</v>
      </c>
      <c r="Q17" s="32">
        <v>0</v>
      </c>
      <c r="R17" s="32">
        <v>0</v>
      </c>
      <c r="S17" s="32">
        <v>0</v>
      </c>
      <c r="T17" s="32">
        <v>0</v>
      </c>
      <c r="U17" s="32">
        <v>0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  <c r="AC17" s="32">
        <v>244</v>
      </c>
      <c r="AD17" s="32">
        <v>429</v>
      </c>
      <c r="AE17" s="32">
        <v>212</v>
      </c>
      <c r="AF17" s="32">
        <v>688</v>
      </c>
      <c r="AG17" s="32">
        <v>180</v>
      </c>
      <c r="AH17" s="32">
        <v>398</v>
      </c>
      <c r="AI17" s="32">
        <v>126</v>
      </c>
      <c r="AJ17" s="32">
        <v>292</v>
      </c>
      <c r="AK17" s="32">
        <v>135</v>
      </c>
      <c r="AL17" s="32">
        <v>192</v>
      </c>
      <c r="AM17" s="32">
        <v>75</v>
      </c>
      <c r="AN17" s="32">
        <v>823</v>
      </c>
      <c r="AO17" s="32">
        <v>633</v>
      </c>
      <c r="AP17" s="32">
        <f t="shared" si="11"/>
        <v>196</v>
      </c>
      <c r="AQ17" s="32">
        <f>244</f>
        <v>244</v>
      </c>
      <c r="AR17" s="32">
        <f t="shared" si="12"/>
        <v>303</v>
      </c>
      <c r="AS17" s="32">
        <f>153</f>
        <v>153</v>
      </c>
    </row>
    <row r="18" spans="1:46" x14ac:dyDescent="0.2">
      <c r="A18" s="5" t="s">
        <v>228</v>
      </c>
      <c r="B18" s="32">
        <v>0</v>
      </c>
      <c r="C18" s="32">
        <v>0</v>
      </c>
      <c r="D18" s="32">
        <v>0</v>
      </c>
      <c r="E18" s="32">
        <v>0</v>
      </c>
      <c r="F18" s="32">
        <v>0</v>
      </c>
      <c r="G18" s="32">
        <v>0</v>
      </c>
      <c r="H18" s="32">
        <v>0</v>
      </c>
      <c r="I18" s="32">
        <v>0</v>
      </c>
      <c r="J18" s="32">
        <v>0</v>
      </c>
      <c r="K18" s="32">
        <v>0</v>
      </c>
      <c r="L18" s="32">
        <f t="shared" si="13"/>
        <v>16</v>
      </c>
      <c r="M18" s="32">
        <f t="shared" si="10"/>
        <v>37</v>
      </c>
      <c r="N18" s="32">
        <v>-66</v>
      </c>
      <c r="O18" s="32">
        <f>4991</f>
        <v>4991</v>
      </c>
      <c r="P18" s="32"/>
      <c r="Q18" s="32">
        <v>0</v>
      </c>
      <c r="R18" s="32">
        <v>0</v>
      </c>
      <c r="S18" s="32">
        <v>0</v>
      </c>
      <c r="T18" s="32">
        <v>0</v>
      </c>
      <c r="U18" s="32">
        <v>0</v>
      </c>
      <c r="V18" s="32">
        <v>0</v>
      </c>
      <c r="W18" s="32">
        <v>0</v>
      </c>
      <c r="X18" s="32">
        <v>0</v>
      </c>
      <c r="Y18" s="32">
        <v>0</v>
      </c>
      <c r="Z18" s="32">
        <v>0</v>
      </c>
      <c r="AA18" s="32">
        <v>0</v>
      </c>
      <c r="AB18" s="32">
        <v>0</v>
      </c>
      <c r="AC18" s="32">
        <v>0</v>
      </c>
      <c r="AD18" s="32">
        <v>0</v>
      </c>
      <c r="AE18" s="32">
        <v>0</v>
      </c>
      <c r="AF18" s="32">
        <v>0</v>
      </c>
      <c r="AG18" s="32">
        <v>0</v>
      </c>
      <c r="AH18" s="32">
        <v>0</v>
      </c>
      <c r="AI18" s="32">
        <v>0</v>
      </c>
      <c r="AJ18" s="32">
        <v>0</v>
      </c>
      <c r="AK18" s="32">
        <v>0</v>
      </c>
      <c r="AL18" s="32">
        <v>16</v>
      </c>
      <c r="AM18" s="32">
        <v>38</v>
      </c>
      <c r="AN18" s="32">
        <v>-1</v>
      </c>
      <c r="AO18" s="32">
        <v>-17</v>
      </c>
      <c r="AP18" s="32">
        <f t="shared" si="11"/>
        <v>-49</v>
      </c>
      <c r="AQ18" s="32">
        <f>1470</f>
        <v>1470</v>
      </c>
      <c r="AR18" s="32">
        <f t="shared" si="12"/>
        <v>3521</v>
      </c>
      <c r="AS18" s="32">
        <f>504</f>
        <v>504</v>
      </c>
    </row>
    <row r="19" spans="1:46" x14ac:dyDescent="0.2">
      <c r="A19" s="5" t="s">
        <v>229</v>
      </c>
      <c r="B19" s="32">
        <f t="shared" si="0"/>
        <v>0</v>
      </c>
      <c r="C19" s="32">
        <f t="shared" si="1"/>
        <v>0</v>
      </c>
      <c r="D19" s="32">
        <f t="shared" si="2"/>
        <v>0</v>
      </c>
      <c r="E19" s="32">
        <f t="shared" si="3"/>
        <v>0</v>
      </c>
      <c r="F19" s="32">
        <f t="shared" si="4"/>
        <v>0</v>
      </c>
      <c r="G19" s="32">
        <f t="shared" si="5"/>
        <v>0</v>
      </c>
      <c r="H19" s="32">
        <f t="shared" si="6"/>
        <v>221</v>
      </c>
      <c r="I19" s="32">
        <f t="shared" si="7"/>
        <v>846</v>
      </c>
      <c r="J19" s="32">
        <f t="shared" si="8"/>
        <v>0</v>
      </c>
      <c r="K19" s="32">
        <f t="shared" si="9"/>
        <v>0</v>
      </c>
      <c r="L19" s="32">
        <f t="shared" si="13"/>
        <v>0</v>
      </c>
      <c r="M19" s="32">
        <f t="shared" si="10"/>
        <v>0</v>
      </c>
      <c r="N19" s="32">
        <f t="shared" si="10"/>
        <v>0</v>
      </c>
      <c r="O19" s="32">
        <f>0</f>
        <v>0</v>
      </c>
      <c r="Q19" s="32">
        <v>0</v>
      </c>
      <c r="R19" s="32">
        <v>0</v>
      </c>
      <c r="S19" s="32">
        <v>0</v>
      </c>
      <c r="T19" s="32">
        <v>0</v>
      </c>
      <c r="U19" s="32">
        <v>0</v>
      </c>
      <c r="V19" s="32">
        <v>0</v>
      </c>
      <c r="W19" s="32">
        <v>0</v>
      </c>
      <c r="X19" s="32">
        <v>0</v>
      </c>
      <c r="Y19" s="32">
        <v>0</v>
      </c>
      <c r="Z19" s="32">
        <v>0</v>
      </c>
      <c r="AA19" s="32">
        <v>0</v>
      </c>
      <c r="AB19" s="32">
        <v>0</v>
      </c>
      <c r="AC19" s="32">
        <v>0</v>
      </c>
      <c r="AD19" s="32">
        <v>221</v>
      </c>
      <c r="AE19" s="32">
        <v>846</v>
      </c>
      <c r="AF19" s="32">
        <v>0</v>
      </c>
      <c r="AG19" s="32">
        <v>0</v>
      </c>
      <c r="AH19" s="32">
        <v>0</v>
      </c>
      <c r="AI19" s="32">
        <v>0</v>
      </c>
      <c r="AJ19" s="32">
        <v>0</v>
      </c>
      <c r="AK19" s="32">
        <v>0</v>
      </c>
      <c r="AL19" s="32">
        <v>0</v>
      </c>
      <c r="AM19" s="32">
        <v>0</v>
      </c>
      <c r="AN19" s="32">
        <v>0</v>
      </c>
      <c r="AO19" s="32">
        <v>0</v>
      </c>
      <c r="AP19" s="32">
        <f t="shared" si="11"/>
        <v>0</v>
      </c>
      <c r="AQ19" s="32">
        <f>0</f>
        <v>0</v>
      </c>
      <c r="AR19" s="32">
        <f t="shared" si="12"/>
        <v>0</v>
      </c>
      <c r="AS19" s="32">
        <f>0</f>
        <v>0</v>
      </c>
    </row>
    <row r="20" spans="1:46" x14ac:dyDescent="0.2">
      <c r="A20" s="5" t="s">
        <v>230</v>
      </c>
      <c r="B20" s="32">
        <f t="shared" si="0"/>
        <v>1</v>
      </c>
      <c r="C20" s="32">
        <f t="shared" si="1"/>
        <v>28</v>
      </c>
      <c r="D20" s="32">
        <f t="shared" si="2"/>
        <v>0</v>
      </c>
      <c r="E20" s="32">
        <f t="shared" si="3"/>
        <v>0</v>
      </c>
      <c r="F20" s="32">
        <f t="shared" si="4"/>
        <v>0</v>
      </c>
      <c r="G20" s="32">
        <f t="shared" si="5"/>
        <v>0</v>
      </c>
      <c r="H20" s="32">
        <f t="shared" si="6"/>
        <v>0</v>
      </c>
      <c r="I20" s="32">
        <f t="shared" si="7"/>
        <v>0</v>
      </c>
      <c r="J20" s="32">
        <f t="shared" si="8"/>
        <v>-87</v>
      </c>
      <c r="K20" s="32">
        <f t="shared" si="9"/>
        <v>0</v>
      </c>
      <c r="L20" s="32">
        <f t="shared" si="13"/>
        <v>7</v>
      </c>
      <c r="M20" s="32">
        <f t="shared" si="10"/>
        <v>2</v>
      </c>
      <c r="N20" s="32">
        <v>-14</v>
      </c>
      <c r="O20" s="32">
        <f>65</f>
        <v>65</v>
      </c>
      <c r="Q20" s="32">
        <v>1</v>
      </c>
      <c r="R20" s="32">
        <v>0</v>
      </c>
      <c r="S20" s="32">
        <v>0</v>
      </c>
      <c r="T20" s="32">
        <v>28</v>
      </c>
      <c r="U20" s="32">
        <v>0</v>
      </c>
      <c r="V20" s="32">
        <v>0</v>
      </c>
      <c r="W20" s="32">
        <v>0</v>
      </c>
      <c r="X20" s="32">
        <v>0</v>
      </c>
      <c r="Y20" s="32">
        <v>0</v>
      </c>
      <c r="Z20" s="32">
        <v>0</v>
      </c>
      <c r="AA20" s="32">
        <v>0</v>
      </c>
      <c r="AB20" s="32">
        <v>0</v>
      </c>
      <c r="AC20" s="32">
        <v>0</v>
      </c>
      <c r="AD20" s="32">
        <v>0</v>
      </c>
      <c r="AE20" s="32">
        <v>0</v>
      </c>
      <c r="AF20" s="32">
        <v>0</v>
      </c>
      <c r="AG20" s="32">
        <v>0</v>
      </c>
      <c r="AH20" s="32">
        <v>-87</v>
      </c>
      <c r="AI20" s="32">
        <v>0</v>
      </c>
      <c r="AJ20" s="32">
        <v>0</v>
      </c>
      <c r="AK20" s="32">
        <v>20</v>
      </c>
      <c r="AL20" s="32">
        <v>-13</v>
      </c>
      <c r="AM20" s="32">
        <v>0</v>
      </c>
      <c r="AN20" s="32">
        <v>2</v>
      </c>
      <c r="AO20" s="32">
        <v>0</v>
      </c>
      <c r="AP20" s="32">
        <f t="shared" si="11"/>
        <v>-14</v>
      </c>
      <c r="AQ20" s="32">
        <f>0</f>
        <v>0</v>
      </c>
      <c r="AR20" s="32">
        <f t="shared" si="12"/>
        <v>65</v>
      </c>
      <c r="AS20" s="32">
        <f>0</f>
        <v>0</v>
      </c>
    </row>
    <row r="21" spans="1:46" x14ac:dyDescent="0.2">
      <c r="A21" s="5" t="s">
        <v>232</v>
      </c>
      <c r="B21" s="32">
        <f t="shared" si="0"/>
        <v>-24</v>
      </c>
      <c r="C21" s="32">
        <f t="shared" si="1"/>
        <v>0</v>
      </c>
      <c r="D21" s="32">
        <f t="shared" si="2"/>
        <v>0</v>
      </c>
      <c r="E21" s="32">
        <f t="shared" si="3"/>
        <v>0</v>
      </c>
      <c r="F21" s="32">
        <f t="shared" si="4"/>
        <v>0</v>
      </c>
      <c r="G21" s="32">
        <f t="shared" si="5"/>
        <v>0</v>
      </c>
      <c r="H21" s="32">
        <f t="shared" si="6"/>
        <v>0</v>
      </c>
      <c r="I21" s="32">
        <f t="shared" si="7"/>
        <v>0</v>
      </c>
      <c r="J21" s="32">
        <f t="shared" si="8"/>
        <v>0</v>
      </c>
      <c r="K21" s="32">
        <f t="shared" si="9"/>
        <v>0</v>
      </c>
      <c r="L21" s="32">
        <f t="shared" si="13"/>
        <v>0</v>
      </c>
      <c r="M21" s="32">
        <f t="shared" si="10"/>
        <v>0</v>
      </c>
      <c r="N21" s="32">
        <f t="shared" si="10"/>
        <v>0</v>
      </c>
      <c r="O21" s="32">
        <f>0</f>
        <v>0</v>
      </c>
      <c r="Q21" s="32">
        <v>-24</v>
      </c>
      <c r="R21" s="32">
        <v>0</v>
      </c>
      <c r="S21" s="32">
        <v>0</v>
      </c>
      <c r="T21" s="32">
        <v>0</v>
      </c>
      <c r="U21" s="32">
        <v>0</v>
      </c>
      <c r="V21" s="32">
        <v>0</v>
      </c>
      <c r="W21" s="32">
        <v>0</v>
      </c>
      <c r="X21" s="32">
        <v>0</v>
      </c>
      <c r="Y21" s="32">
        <v>0</v>
      </c>
      <c r="Z21" s="32">
        <v>0</v>
      </c>
      <c r="AA21" s="32">
        <v>0</v>
      </c>
      <c r="AB21" s="32">
        <v>0</v>
      </c>
      <c r="AC21" s="32">
        <v>0</v>
      </c>
      <c r="AD21" s="32">
        <v>0</v>
      </c>
      <c r="AE21" s="32">
        <v>0</v>
      </c>
      <c r="AF21" s="32">
        <v>0</v>
      </c>
      <c r="AG21" s="32">
        <v>0</v>
      </c>
      <c r="AH21" s="32">
        <v>0</v>
      </c>
      <c r="AI21" s="32">
        <v>0</v>
      </c>
      <c r="AJ21" s="32">
        <v>0</v>
      </c>
      <c r="AK21" s="32">
        <v>0</v>
      </c>
      <c r="AL21" s="32">
        <v>0</v>
      </c>
      <c r="AM21" s="32">
        <v>0</v>
      </c>
      <c r="AN21" s="32">
        <v>0</v>
      </c>
      <c r="AO21" s="32">
        <v>0</v>
      </c>
      <c r="AP21" s="32">
        <f t="shared" si="11"/>
        <v>0</v>
      </c>
      <c r="AQ21" s="32">
        <f>0</f>
        <v>0</v>
      </c>
      <c r="AR21" s="32">
        <f t="shared" si="12"/>
        <v>0</v>
      </c>
      <c r="AS21" s="32">
        <f>0</f>
        <v>0</v>
      </c>
    </row>
    <row r="22" spans="1:46" x14ac:dyDescent="0.2">
      <c r="A22" s="5" t="s">
        <v>233</v>
      </c>
      <c r="B22" s="32">
        <f t="shared" ref="B22" si="14">SUM(Q22:R22)</f>
        <v>0</v>
      </c>
      <c r="C22" s="32">
        <f t="shared" ref="C22" si="15">SUM(S22:T22)</f>
        <v>0</v>
      </c>
      <c r="D22" s="32">
        <f t="shared" ref="D22" si="16">SUM(U22:V22)</f>
        <v>0</v>
      </c>
      <c r="E22" s="32">
        <f t="shared" ref="E22" si="17">SUM(W22:X22)</f>
        <v>0</v>
      </c>
      <c r="F22" s="32">
        <f t="shared" ref="F22" si="18">SUM(Y22:Z22)</f>
        <v>0</v>
      </c>
      <c r="G22" s="32">
        <f t="shared" ref="G22" si="19">SUM(AA22:AB22)</f>
        <v>0</v>
      </c>
      <c r="H22" s="32">
        <f t="shared" ref="H22" si="20">SUM(AC22:AD22)</f>
        <v>0</v>
      </c>
      <c r="I22" s="32">
        <f t="shared" ref="I22" si="21">SUM(AE22:AF22)</f>
        <v>0</v>
      </c>
      <c r="J22" s="32">
        <f t="shared" ref="J22" si="22">SUM(AG22:AH22)</f>
        <v>0</v>
      </c>
      <c r="K22" s="32">
        <f t="shared" ref="K22" si="23">SUM(AI22:AJ22)</f>
        <v>0</v>
      </c>
      <c r="L22" s="32">
        <f t="shared" ref="L22" si="24">SUM(AK22:AL22)</f>
        <v>0</v>
      </c>
      <c r="M22" s="32">
        <f t="shared" ref="M22" si="25">SUM(AM22:AN22)</f>
        <v>0</v>
      </c>
      <c r="N22" s="32">
        <v>2535</v>
      </c>
      <c r="O22" s="32">
        <f>484</f>
        <v>484</v>
      </c>
      <c r="Q22" s="32">
        <v>0</v>
      </c>
      <c r="R22" s="32">
        <v>0</v>
      </c>
      <c r="S22" s="32">
        <v>0</v>
      </c>
      <c r="T22" s="32">
        <v>0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>
        <v>0</v>
      </c>
      <c r="AB22" s="32">
        <v>0</v>
      </c>
      <c r="AC22" s="32">
        <v>0</v>
      </c>
      <c r="AD22" s="32">
        <v>0</v>
      </c>
      <c r="AE22" s="32">
        <v>0</v>
      </c>
      <c r="AF22" s="32">
        <v>0</v>
      </c>
      <c r="AG22" s="32">
        <v>0</v>
      </c>
      <c r="AH22" s="32">
        <v>0</v>
      </c>
      <c r="AI22" s="32">
        <v>0</v>
      </c>
      <c r="AJ22" s="32">
        <v>0</v>
      </c>
      <c r="AK22" s="32">
        <v>0</v>
      </c>
      <c r="AL22" s="32">
        <v>0</v>
      </c>
      <c r="AM22" s="32">
        <v>0</v>
      </c>
      <c r="AN22" s="32">
        <v>0</v>
      </c>
      <c r="AO22" s="32">
        <v>612</v>
      </c>
      <c r="AP22" s="32">
        <f t="shared" si="11"/>
        <v>1923</v>
      </c>
      <c r="AQ22" s="32">
        <f>-3</f>
        <v>-3</v>
      </c>
      <c r="AR22" s="32">
        <f t="shared" si="12"/>
        <v>487</v>
      </c>
      <c r="AS22" s="32">
        <f>279</f>
        <v>279</v>
      </c>
    </row>
    <row r="23" spans="1:46" x14ac:dyDescent="0.2">
      <c r="A23" s="5" t="s">
        <v>406</v>
      </c>
      <c r="B23" s="32">
        <f>0</f>
        <v>0</v>
      </c>
      <c r="C23" s="32">
        <f>0</f>
        <v>0</v>
      </c>
      <c r="D23" s="32">
        <f>0</f>
        <v>0</v>
      </c>
      <c r="E23" s="32">
        <f>0</f>
        <v>0</v>
      </c>
      <c r="F23" s="32">
        <f>0</f>
        <v>0</v>
      </c>
      <c r="G23" s="32">
        <f>0</f>
        <v>0</v>
      </c>
      <c r="H23" s="32">
        <f>0</f>
        <v>0</v>
      </c>
      <c r="I23" s="32">
        <f>0</f>
        <v>0</v>
      </c>
      <c r="J23" s="32">
        <f>0</f>
        <v>0</v>
      </c>
      <c r="K23" s="32">
        <f>0</f>
        <v>0</v>
      </c>
      <c r="L23" s="32">
        <f>0</f>
        <v>0</v>
      </c>
      <c r="M23" s="32">
        <f>0</f>
        <v>0</v>
      </c>
      <c r="N23" s="32">
        <f>0</f>
        <v>0</v>
      </c>
      <c r="O23" s="32">
        <f>-420</f>
        <v>-420</v>
      </c>
      <c r="Q23" s="32">
        <f>0</f>
        <v>0</v>
      </c>
      <c r="R23" s="32">
        <f>0</f>
        <v>0</v>
      </c>
      <c r="S23" s="32">
        <f>0</f>
        <v>0</v>
      </c>
      <c r="T23" s="32">
        <f>0</f>
        <v>0</v>
      </c>
      <c r="U23" s="32">
        <f>0</f>
        <v>0</v>
      </c>
      <c r="V23" s="32">
        <f>0</f>
        <v>0</v>
      </c>
      <c r="W23" s="32">
        <f>0</f>
        <v>0</v>
      </c>
      <c r="X23" s="32">
        <f>0</f>
        <v>0</v>
      </c>
      <c r="Y23" s="32">
        <f>0</f>
        <v>0</v>
      </c>
      <c r="Z23" s="32">
        <f>0</f>
        <v>0</v>
      </c>
      <c r="AA23" s="32">
        <f>0</f>
        <v>0</v>
      </c>
      <c r="AB23" s="32">
        <f>0</f>
        <v>0</v>
      </c>
      <c r="AC23" s="32">
        <f>0</f>
        <v>0</v>
      </c>
      <c r="AD23" s="32">
        <f>0</f>
        <v>0</v>
      </c>
      <c r="AE23" s="32">
        <f>0</f>
        <v>0</v>
      </c>
      <c r="AF23" s="32">
        <f>0</f>
        <v>0</v>
      </c>
      <c r="AG23" s="32">
        <f>0</f>
        <v>0</v>
      </c>
      <c r="AH23" s="32">
        <f>0</f>
        <v>0</v>
      </c>
      <c r="AI23" s="32">
        <f>0</f>
        <v>0</v>
      </c>
      <c r="AJ23" s="32">
        <f>0</f>
        <v>0</v>
      </c>
      <c r="AK23" s="32">
        <f>0</f>
        <v>0</v>
      </c>
      <c r="AL23" s="32">
        <f>0</f>
        <v>0</v>
      </c>
      <c r="AM23" s="32">
        <f>0</f>
        <v>0</v>
      </c>
      <c r="AN23" s="32">
        <f>0</f>
        <v>0</v>
      </c>
      <c r="AO23" s="32">
        <f>0</f>
        <v>0</v>
      </c>
      <c r="AP23" s="32">
        <f>0</f>
        <v>0</v>
      </c>
      <c r="AQ23" s="32">
        <f>0</f>
        <v>0</v>
      </c>
      <c r="AR23" s="32">
        <f t="shared" si="12"/>
        <v>-420</v>
      </c>
      <c r="AS23" s="32">
        <f>-43</f>
        <v>-43</v>
      </c>
    </row>
    <row r="24" spans="1:46" x14ac:dyDescent="0.2">
      <c r="A24" s="5" t="s">
        <v>478</v>
      </c>
      <c r="B24" s="32">
        <f>0</f>
        <v>0</v>
      </c>
      <c r="C24" s="32">
        <f>0</f>
        <v>0</v>
      </c>
      <c r="D24" s="32">
        <f>0</f>
        <v>0</v>
      </c>
      <c r="E24" s="32">
        <f>0</f>
        <v>0</v>
      </c>
      <c r="F24" s="32">
        <f>0</f>
        <v>0</v>
      </c>
      <c r="G24" s="32">
        <f>0</f>
        <v>0</v>
      </c>
      <c r="H24" s="32">
        <f>0</f>
        <v>0</v>
      </c>
      <c r="I24" s="32">
        <f>0</f>
        <v>0</v>
      </c>
      <c r="J24" s="32">
        <f>0</f>
        <v>0</v>
      </c>
      <c r="K24" s="32">
        <f>0</f>
        <v>0</v>
      </c>
      <c r="L24" s="32">
        <f>0</f>
        <v>0</v>
      </c>
      <c r="M24" s="32">
        <f>0</f>
        <v>0</v>
      </c>
      <c r="N24" s="32">
        <f>0</f>
        <v>0</v>
      </c>
      <c r="O24" s="32">
        <f>0</f>
        <v>0</v>
      </c>
      <c r="Q24" s="32">
        <f>0</f>
        <v>0</v>
      </c>
      <c r="R24" s="32">
        <f>0</f>
        <v>0</v>
      </c>
      <c r="S24" s="32">
        <f>0</f>
        <v>0</v>
      </c>
      <c r="T24" s="32">
        <f>0</f>
        <v>0</v>
      </c>
      <c r="U24" s="32">
        <f>0</f>
        <v>0</v>
      </c>
      <c r="V24" s="32">
        <f>0</f>
        <v>0</v>
      </c>
      <c r="W24" s="32">
        <f>0</f>
        <v>0</v>
      </c>
      <c r="X24" s="32">
        <f>0</f>
        <v>0</v>
      </c>
      <c r="Y24" s="32">
        <f>0</f>
        <v>0</v>
      </c>
      <c r="Z24" s="32">
        <f>0</f>
        <v>0</v>
      </c>
      <c r="AA24" s="32">
        <f>0</f>
        <v>0</v>
      </c>
      <c r="AB24" s="32">
        <f>0</f>
        <v>0</v>
      </c>
      <c r="AC24" s="32">
        <f>0</f>
        <v>0</v>
      </c>
      <c r="AD24" s="32">
        <f>0</f>
        <v>0</v>
      </c>
      <c r="AE24" s="32">
        <f>0</f>
        <v>0</v>
      </c>
      <c r="AF24" s="32">
        <f>0</f>
        <v>0</v>
      </c>
      <c r="AG24" s="32">
        <f>0</f>
        <v>0</v>
      </c>
      <c r="AH24" s="32">
        <f>0</f>
        <v>0</v>
      </c>
      <c r="AI24" s="32">
        <f>0</f>
        <v>0</v>
      </c>
      <c r="AJ24" s="32">
        <f>0</f>
        <v>0</v>
      </c>
      <c r="AK24" s="32">
        <f>0</f>
        <v>0</v>
      </c>
      <c r="AL24" s="32">
        <f>0</f>
        <v>0</v>
      </c>
      <c r="AM24" s="32">
        <f>0</f>
        <v>0</v>
      </c>
      <c r="AN24" s="32">
        <f>0</f>
        <v>0</v>
      </c>
      <c r="AO24" s="32">
        <f>0</f>
        <v>0</v>
      </c>
      <c r="AP24" s="32">
        <f>0</f>
        <v>0</v>
      </c>
      <c r="AQ24" s="32">
        <f>0</f>
        <v>0</v>
      </c>
      <c r="AR24" s="32">
        <f t="shared" si="12"/>
        <v>0</v>
      </c>
      <c r="AS24" s="32">
        <f>-24</f>
        <v>-24</v>
      </c>
    </row>
    <row r="25" spans="1:46" x14ac:dyDescent="0.2">
      <c r="A25" s="5" t="s">
        <v>231</v>
      </c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>
        <f t="shared" si="10"/>
        <v>-135</v>
      </c>
      <c r="N25" s="32">
        <v>0</v>
      </c>
      <c r="O25" s="32">
        <f>0</f>
        <v>0</v>
      </c>
      <c r="Q25" s="32">
        <v>0</v>
      </c>
      <c r="R25" s="32">
        <v>0</v>
      </c>
      <c r="S25" s="32">
        <v>0</v>
      </c>
      <c r="T25" s="32">
        <v>0</v>
      </c>
      <c r="U25" s="32">
        <v>0</v>
      </c>
      <c r="V25" s="32">
        <v>0</v>
      </c>
      <c r="W25" s="32">
        <v>0</v>
      </c>
      <c r="X25" s="32">
        <v>0</v>
      </c>
      <c r="Y25" s="32">
        <v>0</v>
      </c>
      <c r="Z25" s="32">
        <v>0</v>
      </c>
      <c r="AA25" s="32">
        <v>0</v>
      </c>
      <c r="AB25" s="32">
        <v>0</v>
      </c>
      <c r="AC25" s="32">
        <v>0</v>
      </c>
      <c r="AD25" s="32">
        <v>0</v>
      </c>
      <c r="AE25" s="32">
        <v>0</v>
      </c>
      <c r="AF25" s="32">
        <v>0</v>
      </c>
      <c r="AG25" s="32">
        <v>0</v>
      </c>
      <c r="AH25" s="32">
        <v>0</v>
      </c>
      <c r="AI25" s="32">
        <v>0</v>
      </c>
      <c r="AJ25" s="32">
        <v>0</v>
      </c>
      <c r="AK25" s="32">
        <v>0</v>
      </c>
      <c r="AL25" s="32">
        <v>0</v>
      </c>
      <c r="AM25" s="32">
        <v>0</v>
      </c>
      <c r="AN25" s="32">
        <v>-135</v>
      </c>
      <c r="AO25" s="32">
        <v>0</v>
      </c>
      <c r="AP25" s="32">
        <f t="shared" si="11"/>
        <v>0</v>
      </c>
      <c r="AQ25" s="32">
        <f>0</f>
        <v>0</v>
      </c>
      <c r="AR25" s="32">
        <f t="shared" si="12"/>
        <v>0</v>
      </c>
      <c r="AS25" s="32">
        <f>0</f>
        <v>0</v>
      </c>
    </row>
    <row r="26" spans="1:46" x14ac:dyDescent="0.2">
      <c r="A26" s="5" t="s">
        <v>148</v>
      </c>
      <c r="B26" s="32">
        <f t="shared" si="0"/>
        <v>0</v>
      </c>
      <c r="C26" s="32">
        <f t="shared" si="1"/>
        <v>0</v>
      </c>
      <c r="D26" s="32">
        <f t="shared" si="2"/>
        <v>0</v>
      </c>
      <c r="E26" s="32">
        <f t="shared" si="3"/>
        <v>0</v>
      </c>
      <c r="F26" s="32">
        <f t="shared" si="4"/>
        <v>0</v>
      </c>
      <c r="G26" s="32">
        <f t="shared" si="5"/>
        <v>0</v>
      </c>
      <c r="H26" s="32">
        <f t="shared" si="6"/>
        <v>0</v>
      </c>
      <c r="I26" s="32">
        <f t="shared" si="7"/>
        <v>0</v>
      </c>
      <c r="J26" s="32">
        <f t="shared" si="8"/>
        <v>-729</v>
      </c>
      <c r="K26" s="32">
        <f t="shared" si="9"/>
        <v>0</v>
      </c>
      <c r="L26" s="32">
        <f t="shared" si="13"/>
        <v>0</v>
      </c>
      <c r="M26" s="32">
        <f t="shared" si="10"/>
        <v>-12038</v>
      </c>
      <c r="N26" s="32">
        <f t="shared" si="10"/>
        <v>0</v>
      </c>
      <c r="O26" s="32">
        <f>0</f>
        <v>0</v>
      </c>
      <c r="Q26" s="32">
        <v>0</v>
      </c>
      <c r="R26" s="32">
        <v>0</v>
      </c>
      <c r="S26" s="32">
        <v>0</v>
      </c>
      <c r="T26" s="32">
        <v>0</v>
      </c>
      <c r="U26" s="32">
        <v>0</v>
      </c>
      <c r="V26" s="32">
        <v>0</v>
      </c>
      <c r="W26" s="32">
        <v>0</v>
      </c>
      <c r="X26" s="32">
        <v>0</v>
      </c>
      <c r="Y26" s="32">
        <v>0</v>
      </c>
      <c r="Z26" s="32">
        <v>0</v>
      </c>
      <c r="AA26" s="32">
        <v>0</v>
      </c>
      <c r="AB26" s="32">
        <v>0</v>
      </c>
      <c r="AC26" s="32">
        <v>0</v>
      </c>
      <c r="AD26" s="32">
        <v>0</v>
      </c>
      <c r="AE26" s="32">
        <v>0</v>
      </c>
      <c r="AF26" s="32">
        <v>0</v>
      </c>
      <c r="AG26" s="32">
        <v>-729</v>
      </c>
      <c r="AH26" s="32">
        <v>0</v>
      </c>
      <c r="AI26" s="32">
        <v>0</v>
      </c>
      <c r="AJ26" s="32">
        <v>0</v>
      </c>
      <c r="AK26" s="32">
        <v>0</v>
      </c>
      <c r="AL26" s="32">
        <v>0</v>
      </c>
      <c r="AM26" s="32">
        <v>-12038</v>
      </c>
      <c r="AN26" s="32">
        <v>0</v>
      </c>
      <c r="AO26" s="32">
        <v>0</v>
      </c>
      <c r="AP26" s="32">
        <f t="shared" si="11"/>
        <v>0</v>
      </c>
      <c r="AQ26" s="32">
        <f>0</f>
        <v>0</v>
      </c>
      <c r="AR26" s="32">
        <f t="shared" si="12"/>
        <v>0</v>
      </c>
      <c r="AS26" s="32">
        <f>0</f>
        <v>0</v>
      </c>
    </row>
    <row r="27" spans="1:46" x14ac:dyDescent="0.2">
      <c r="A27" s="5" t="s">
        <v>234</v>
      </c>
      <c r="B27" s="32">
        <f t="shared" si="0"/>
        <v>0</v>
      </c>
      <c r="C27" s="32">
        <f t="shared" si="1"/>
        <v>0</v>
      </c>
      <c r="D27" s="32">
        <f t="shared" si="2"/>
        <v>0</v>
      </c>
      <c r="E27" s="32">
        <f t="shared" si="3"/>
        <v>0</v>
      </c>
      <c r="F27" s="32">
        <f t="shared" si="4"/>
        <v>0</v>
      </c>
      <c r="G27" s="32">
        <f t="shared" si="5"/>
        <v>0</v>
      </c>
      <c r="H27" s="32">
        <f t="shared" si="6"/>
        <v>0</v>
      </c>
      <c r="I27" s="32">
        <f t="shared" si="7"/>
        <v>0</v>
      </c>
      <c r="J27" s="32">
        <f t="shared" si="8"/>
        <v>-1703</v>
      </c>
      <c r="K27" s="32">
        <f t="shared" si="9"/>
        <v>-1210</v>
      </c>
      <c r="L27" s="32">
        <f t="shared" si="13"/>
        <v>-3003</v>
      </c>
      <c r="M27" s="32">
        <f t="shared" si="10"/>
        <v>-324</v>
      </c>
      <c r="N27" s="32">
        <v>-157</v>
      </c>
      <c r="O27" s="32">
        <f>-1</f>
        <v>-1</v>
      </c>
      <c r="Q27" s="32">
        <v>0</v>
      </c>
      <c r="R27" s="32">
        <v>0</v>
      </c>
      <c r="S27" s="32">
        <v>0</v>
      </c>
      <c r="T27" s="32">
        <v>0</v>
      </c>
      <c r="U27" s="32">
        <v>0</v>
      </c>
      <c r="V27" s="32">
        <v>0</v>
      </c>
      <c r="W27" s="32">
        <v>0</v>
      </c>
      <c r="X27" s="32">
        <v>0</v>
      </c>
      <c r="Y27" s="32">
        <v>0</v>
      </c>
      <c r="Z27" s="32">
        <v>0</v>
      </c>
      <c r="AA27" s="32">
        <v>0</v>
      </c>
      <c r="AB27" s="32">
        <v>0</v>
      </c>
      <c r="AC27" s="32">
        <v>0</v>
      </c>
      <c r="AD27" s="32">
        <v>0</v>
      </c>
      <c r="AE27" s="32">
        <v>0</v>
      </c>
      <c r="AF27" s="32">
        <v>0</v>
      </c>
      <c r="AG27" s="32">
        <v>0</v>
      </c>
      <c r="AH27" s="32">
        <v>-1703</v>
      </c>
      <c r="AI27" s="32">
        <v>0</v>
      </c>
      <c r="AJ27" s="32">
        <v>-1210</v>
      </c>
      <c r="AK27" s="32">
        <v>-2759</v>
      </c>
      <c r="AL27" s="32">
        <v>-244</v>
      </c>
      <c r="AM27" s="32">
        <v>-121</v>
      </c>
      <c r="AN27" s="32">
        <v>-203</v>
      </c>
      <c r="AO27" s="32">
        <v>-87</v>
      </c>
      <c r="AP27" s="32">
        <f t="shared" si="11"/>
        <v>-70</v>
      </c>
      <c r="AQ27" s="32">
        <f>0</f>
        <v>0</v>
      </c>
      <c r="AR27" s="32">
        <f t="shared" si="12"/>
        <v>-1</v>
      </c>
      <c r="AS27" s="32">
        <f>0</f>
        <v>0</v>
      </c>
    </row>
    <row r="28" spans="1:46" x14ac:dyDescent="0.2">
      <c r="A28" s="5" t="s">
        <v>235</v>
      </c>
      <c r="B28" s="32">
        <f t="shared" si="0"/>
        <v>0</v>
      </c>
      <c r="C28" s="32">
        <f t="shared" si="1"/>
        <v>0</v>
      </c>
      <c r="D28" s="32">
        <f t="shared" si="2"/>
        <v>0</v>
      </c>
      <c r="E28" s="32">
        <f t="shared" si="3"/>
        <v>0</v>
      </c>
      <c r="F28" s="32">
        <f t="shared" si="4"/>
        <v>0</v>
      </c>
      <c r="G28" s="32">
        <f t="shared" si="5"/>
        <v>0</v>
      </c>
      <c r="H28" s="32">
        <f t="shared" si="6"/>
        <v>0</v>
      </c>
      <c r="I28" s="32">
        <f t="shared" si="7"/>
        <v>0</v>
      </c>
      <c r="J28" s="32">
        <f t="shared" si="8"/>
        <v>0</v>
      </c>
      <c r="K28" s="32">
        <f t="shared" si="9"/>
        <v>-448</v>
      </c>
      <c r="L28" s="32">
        <f t="shared" si="13"/>
        <v>-1197</v>
      </c>
      <c r="M28" s="32">
        <f t="shared" si="10"/>
        <v>-2715</v>
      </c>
      <c r="N28" s="32">
        <v>-4697</v>
      </c>
      <c r="O28" s="32">
        <f>-12499</f>
        <v>-12499</v>
      </c>
      <c r="Q28" s="32">
        <v>0</v>
      </c>
      <c r="R28" s="32">
        <v>0</v>
      </c>
      <c r="S28" s="32">
        <v>0</v>
      </c>
      <c r="T28" s="32">
        <v>0</v>
      </c>
      <c r="U28" s="32">
        <v>0</v>
      </c>
      <c r="V28" s="32">
        <v>0</v>
      </c>
      <c r="W28" s="32">
        <v>0</v>
      </c>
      <c r="X28" s="32">
        <v>0</v>
      </c>
      <c r="Y28" s="32">
        <v>0</v>
      </c>
      <c r="Z28" s="32">
        <v>0</v>
      </c>
      <c r="AA28" s="32">
        <v>0</v>
      </c>
      <c r="AB28" s="32">
        <v>0</v>
      </c>
      <c r="AC28" s="32">
        <v>0</v>
      </c>
      <c r="AD28" s="32">
        <v>0</v>
      </c>
      <c r="AE28" s="32">
        <v>0</v>
      </c>
      <c r="AF28" s="32">
        <v>0</v>
      </c>
      <c r="AG28" s="32">
        <v>0</v>
      </c>
      <c r="AH28" s="32">
        <v>0</v>
      </c>
      <c r="AI28" s="32">
        <v>0</v>
      </c>
      <c r="AJ28" s="32">
        <v>-448</v>
      </c>
      <c r="AK28" s="32">
        <v>-423</v>
      </c>
      <c r="AL28" s="32">
        <v>-774</v>
      </c>
      <c r="AM28" s="32">
        <v>-802</v>
      </c>
      <c r="AN28" s="32">
        <v>-1913</v>
      </c>
      <c r="AO28" s="32">
        <v>-1119</v>
      </c>
      <c r="AP28" s="32">
        <f t="shared" si="11"/>
        <v>-3578</v>
      </c>
      <c r="AQ28" s="32">
        <f>-3207</f>
        <v>-3207</v>
      </c>
      <c r="AR28" s="32">
        <f t="shared" si="12"/>
        <v>-9292</v>
      </c>
      <c r="AS28" s="32">
        <f>-7818</f>
        <v>-7818</v>
      </c>
    </row>
    <row r="29" spans="1:46" x14ac:dyDescent="0.2">
      <c r="A29" s="5" t="s">
        <v>236</v>
      </c>
      <c r="B29" s="32">
        <f t="shared" si="0"/>
        <v>-1425</v>
      </c>
      <c r="C29" s="32">
        <f t="shared" si="1"/>
        <v>-544</v>
      </c>
      <c r="D29" s="32">
        <f t="shared" si="2"/>
        <v>-337</v>
      </c>
      <c r="E29" s="32">
        <f t="shared" si="3"/>
        <v>-1164</v>
      </c>
      <c r="F29" s="32">
        <f t="shared" si="4"/>
        <v>-1182</v>
      </c>
      <c r="G29" s="32">
        <f t="shared" si="5"/>
        <v>-1538</v>
      </c>
      <c r="H29" s="32">
        <f t="shared" si="6"/>
        <v>-705</v>
      </c>
      <c r="I29" s="32">
        <f t="shared" si="7"/>
        <v>2781</v>
      </c>
      <c r="J29" s="32">
        <f t="shared" si="8"/>
        <v>4713</v>
      </c>
      <c r="K29" s="32">
        <f t="shared" si="9"/>
        <v>5496</v>
      </c>
      <c r="L29" s="32">
        <f t="shared" si="13"/>
        <v>7381</v>
      </c>
      <c r="M29" s="32">
        <f t="shared" si="10"/>
        <v>9131</v>
      </c>
      <c r="N29" s="32">
        <v>12961</v>
      </c>
      <c r="O29" s="32">
        <f>25823</f>
        <v>25823</v>
      </c>
      <c r="Q29" s="32">
        <v>-212</v>
      </c>
      <c r="R29" s="32">
        <v>-1213</v>
      </c>
      <c r="S29" s="32">
        <v>-237</v>
      </c>
      <c r="T29" s="32">
        <v>-307</v>
      </c>
      <c r="U29" s="32">
        <v>-319</v>
      </c>
      <c r="V29" s="32">
        <v>-18</v>
      </c>
      <c r="W29" s="32">
        <v>-149</v>
      </c>
      <c r="X29" s="32">
        <v>-1015</v>
      </c>
      <c r="Y29" s="32">
        <v>-405</v>
      </c>
      <c r="Z29" s="32">
        <v>-777</v>
      </c>
      <c r="AA29" s="32">
        <v>-739</v>
      </c>
      <c r="AB29" s="32">
        <v>-799</v>
      </c>
      <c r="AC29" s="32">
        <v>-346</v>
      </c>
      <c r="AD29" s="32">
        <v>-359</v>
      </c>
      <c r="AE29" s="32">
        <v>1088</v>
      </c>
      <c r="AF29" s="32">
        <v>1693</v>
      </c>
      <c r="AG29" s="32">
        <v>2113</v>
      </c>
      <c r="AH29" s="32">
        <v>2600</v>
      </c>
      <c r="AI29" s="32">
        <v>2891</v>
      </c>
      <c r="AJ29" s="32">
        <v>2605</v>
      </c>
      <c r="AK29" s="32">
        <v>3705</v>
      </c>
      <c r="AL29" s="32">
        <v>3676</v>
      </c>
      <c r="AM29" s="32">
        <v>4270</v>
      </c>
      <c r="AN29" s="32">
        <v>4861</v>
      </c>
      <c r="AO29" s="32">
        <v>5627</v>
      </c>
      <c r="AP29" s="32">
        <f t="shared" si="11"/>
        <v>7334</v>
      </c>
      <c r="AQ29" s="32">
        <f>9746</f>
        <v>9746</v>
      </c>
      <c r="AR29" s="32">
        <f t="shared" si="12"/>
        <v>16077</v>
      </c>
      <c r="AS29" s="32">
        <f>25087</f>
        <v>25087</v>
      </c>
    </row>
    <row r="30" spans="1:46" x14ac:dyDescent="0.2">
      <c r="A30" s="5" t="s">
        <v>476</v>
      </c>
      <c r="B30" s="32">
        <f t="shared" si="0"/>
        <v>1585</v>
      </c>
      <c r="C30" s="32">
        <f t="shared" si="1"/>
        <v>1526</v>
      </c>
      <c r="D30" s="32">
        <f t="shared" si="2"/>
        <v>1833</v>
      </c>
      <c r="E30" s="32">
        <f t="shared" si="3"/>
        <v>2026</v>
      </c>
      <c r="F30" s="32">
        <f t="shared" si="4"/>
        <v>2002</v>
      </c>
      <c r="G30" s="32">
        <f t="shared" si="5"/>
        <v>1654</v>
      </c>
      <c r="H30" s="32">
        <f t="shared" si="6"/>
        <v>2524</v>
      </c>
      <c r="I30" s="32">
        <f t="shared" si="7"/>
        <v>1123</v>
      </c>
      <c r="J30" s="32">
        <f t="shared" si="8"/>
        <v>1585</v>
      </c>
      <c r="K30" s="32">
        <f t="shared" si="9"/>
        <v>2686</v>
      </c>
      <c r="L30" s="32">
        <f t="shared" si="13"/>
        <v>2842</v>
      </c>
      <c r="M30" s="32">
        <f t="shared" si="10"/>
        <v>2886</v>
      </c>
      <c r="N30" s="32">
        <v>2416</v>
      </c>
      <c r="O30" s="32">
        <f>-179</f>
        <v>-179</v>
      </c>
      <c r="Q30" s="32">
        <v>804</v>
      </c>
      <c r="R30" s="32">
        <v>781</v>
      </c>
      <c r="S30" s="32">
        <v>651</v>
      </c>
      <c r="T30" s="32">
        <v>875</v>
      </c>
      <c r="U30" s="32">
        <v>822</v>
      </c>
      <c r="V30" s="32">
        <v>1011</v>
      </c>
      <c r="W30" s="32">
        <v>302</v>
      </c>
      <c r="X30" s="32">
        <v>1724</v>
      </c>
      <c r="Y30" s="32">
        <v>795</v>
      </c>
      <c r="Z30" s="32">
        <v>1207</v>
      </c>
      <c r="AA30" s="32">
        <v>117</v>
      </c>
      <c r="AB30" s="32">
        <v>1537</v>
      </c>
      <c r="AC30" s="32">
        <v>754</v>
      </c>
      <c r="AD30" s="32">
        <v>1770</v>
      </c>
      <c r="AE30" s="32">
        <v>-369</v>
      </c>
      <c r="AF30" s="32">
        <v>1492</v>
      </c>
      <c r="AG30" s="32">
        <v>857</v>
      </c>
      <c r="AH30" s="32">
        <v>728</v>
      </c>
      <c r="AI30" s="32">
        <v>1082</v>
      </c>
      <c r="AJ30" s="32">
        <v>1604</v>
      </c>
      <c r="AK30" s="32">
        <v>1461</v>
      </c>
      <c r="AL30" s="32">
        <v>1381</v>
      </c>
      <c r="AM30" s="32">
        <v>1414</v>
      </c>
      <c r="AN30" s="32">
        <v>1472</v>
      </c>
      <c r="AO30" s="32">
        <v>502</v>
      </c>
      <c r="AP30" s="32">
        <f t="shared" si="11"/>
        <v>1914</v>
      </c>
      <c r="AQ30" s="32">
        <f>811</f>
        <v>811</v>
      </c>
      <c r="AR30" s="32">
        <f t="shared" si="12"/>
        <v>-990</v>
      </c>
      <c r="AS30" s="32">
        <f>-1434</f>
        <v>-1434</v>
      </c>
    </row>
    <row r="31" spans="1:46" ht="15" x14ac:dyDescent="0.25">
      <c r="A31" s="70" t="s">
        <v>263</v>
      </c>
      <c r="B31" s="75">
        <f t="shared" si="0"/>
        <v>7750</v>
      </c>
      <c r="C31" s="75">
        <f t="shared" si="1"/>
        <v>6378</v>
      </c>
      <c r="D31" s="75">
        <f t="shared" si="2"/>
        <v>8488</v>
      </c>
      <c r="E31" s="75">
        <f t="shared" si="3"/>
        <v>10342</v>
      </c>
      <c r="F31" s="75">
        <f t="shared" si="4"/>
        <v>7319</v>
      </c>
      <c r="G31" s="75">
        <f t="shared" si="5"/>
        <v>5522</v>
      </c>
      <c r="H31" s="75">
        <f t="shared" si="6"/>
        <v>11625</v>
      </c>
      <c r="I31" s="75">
        <f t="shared" si="7"/>
        <v>5773</v>
      </c>
      <c r="J31" s="75">
        <f t="shared" si="8"/>
        <v>6085</v>
      </c>
      <c r="K31" s="75">
        <f t="shared" si="9"/>
        <v>10181</v>
      </c>
      <c r="L31" s="75">
        <f t="shared" si="13"/>
        <v>11719</v>
      </c>
      <c r="M31" s="75">
        <f t="shared" si="10"/>
        <v>12320</v>
      </c>
      <c r="N31" s="75">
        <v>11070</v>
      </c>
      <c r="O31" s="75">
        <f>13066</f>
        <v>13066</v>
      </c>
      <c r="P31" s="37"/>
      <c r="Q31" s="75">
        <v>3388</v>
      </c>
      <c r="R31" s="75">
        <v>4362</v>
      </c>
      <c r="S31" s="75">
        <v>2965</v>
      </c>
      <c r="T31" s="75">
        <v>3413</v>
      </c>
      <c r="U31" s="75">
        <v>3742</v>
      </c>
      <c r="V31" s="75">
        <v>4746</v>
      </c>
      <c r="W31" s="75">
        <v>1383</v>
      </c>
      <c r="X31" s="75">
        <v>8959</v>
      </c>
      <c r="Y31" s="75">
        <v>3012</v>
      </c>
      <c r="Z31" s="75">
        <v>4307</v>
      </c>
      <c r="AA31" s="75">
        <v>1236</v>
      </c>
      <c r="AB31" s="75">
        <v>4286</v>
      </c>
      <c r="AC31" s="75">
        <v>3038</v>
      </c>
      <c r="AD31" s="75">
        <v>8587</v>
      </c>
      <c r="AE31" s="75">
        <v>1496</v>
      </c>
      <c r="AF31" s="75">
        <v>4277</v>
      </c>
      <c r="AG31" s="75">
        <v>3694</v>
      </c>
      <c r="AH31" s="75">
        <v>2391</v>
      </c>
      <c r="AI31" s="75">
        <v>2984</v>
      </c>
      <c r="AJ31" s="75">
        <v>7197</v>
      </c>
      <c r="AK31" s="75">
        <v>5190</v>
      </c>
      <c r="AL31" s="75">
        <v>6529</v>
      </c>
      <c r="AM31" s="75">
        <f>SUM(AM7:AM30)</f>
        <v>3944</v>
      </c>
      <c r="AN31" s="75">
        <v>8376</v>
      </c>
      <c r="AO31" s="75">
        <f>SUM(AO7:AO30)</f>
        <v>4385</v>
      </c>
      <c r="AP31" s="75">
        <f t="shared" si="11"/>
        <v>6685</v>
      </c>
      <c r="AQ31" s="75">
        <f>SUM(AQ7:AQ30)</f>
        <v>9302</v>
      </c>
      <c r="AR31" s="75">
        <f t="shared" ref="AR31:AS31" si="26">SUM(AR7:AR30)</f>
        <v>3764</v>
      </c>
      <c r="AS31" s="75">
        <f t="shared" si="26"/>
        <v>5748</v>
      </c>
      <c r="AT31" s="194"/>
    </row>
    <row r="32" spans="1:46" x14ac:dyDescent="0.2">
      <c r="A32" s="5" t="s">
        <v>264</v>
      </c>
      <c r="B32" s="32">
        <f t="shared" si="0"/>
        <v>-5308</v>
      </c>
      <c r="C32" s="32">
        <f t="shared" si="1"/>
        <v>-7633</v>
      </c>
      <c r="D32" s="32">
        <f t="shared" si="2"/>
        <v>-7837</v>
      </c>
      <c r="E32" s="32">
        <f t="shared" si="3"/>
        <v>-6890</v>
      </c>
      <c r="F32" s="32">
        <f t="shared" si="4"/>
        <v>-8255</v>
      </c>
      <c r="G32" s="32">
        <f t="shared" si="5"/>
        <v>-1780</v>
      </c>
      <c r="H32" s="32">
        <f t="shared" si="6"/>
        <v>-1009</v>
      </c>
      <c r="I32" s="32">
        <f t="shared" si="7"/>
        <v>3582</v>
      </c>
      <c r="J32" s="32">
        <f t="shared" si="8"/>
        <v>12506</v>
      </c>
      <c r="K32" s="32">
        <f t="shared" si="9"/>
        <v>-15619</v>
      </c>
      <c r="L32" s="32">
        <f t="shared" si="13"/>
        <v>3211</v>
      </c>
      <c r="M32" s="32">
        <f t="shared" si="10"/>
        <v>-24897</v>
      </c>
      <c r="N32" s="32">
        <v>-9780</v>
      </c>
      <c r="O32" s="32">
        <f>3224</f>
        <v>3224</v>
      </c>
      <c r="Q32" s="32">
        <v>-1772</v>
      </c>
      <c r="R32" s="32">
        <v>-3536</v>
      </c>
      <c r="S32" s="32">
        <v>-2082</v>
      </c>
      <c r="T32" s="32">
        <v>-5551</v>
      </c>
      <c r="U32" s="32">
        <v>-1957</v>
      </c>
      <c r="V32" s="32">
        <v>-5880</v>
      </c>
      <c r="W32" s="32">
        <v>-6763</v>
      </c>
      <c r="X32" s="32">
        <v>-127</v>
      </c>
      <c r="Y32" s="32">
        <v>-2418</v>
      </c>
      <c r="Z32" s="32">
        <v>-5837</v>
      </c>
      <c r="AA32" s="32">
        <v>-502</v>
      </c>
      <c r="AB32" s="32">
        <v>-1278</v>
      </c>
      <c r="AC32" s="32">
        <v>-582</v>
      </c>
      <c r="AD32" s="32">
        <v>-427</v>
      </c>
      <c r="AE32" s="32">
        <v>-4833</v>
      </c>
      <c r="AF32" s="32">
        <v>8415</v>
      </c>
      <c r="AG32" s="32">
        <v>7357</v>
      </c>
      <c r="AH32" s="32">
        <v>5149</v>
      </c>
      <c r="AI32" s="32">
        <v>2781</v>
      </c>
      <c r="AJ32" s="32">
        <v>-18400</v>
      </c>
      <c r="AK32" s="32">
        <v>3242</v>
      </c>
      <c r="AL32" s="32">
        <v>-31</v>
      </c>
      <c r="AM32" s="32">
        <v>-14724</v>
      </c>
      <c r="AN32" s="32">
        <v>-10173</v>
      </c>
      <c r="AO32" s="32">
        <f>-11430</f>
        <v>-11430</v>
      </c>
      <c r="AP32" s="32">
        <f t="shared" si="11"/>
        <v>1650</v>
      </c>
      <c r="AQ32" s="32">
        <f>9449</f>
        <v>9449</v>
      </c>
      <c r="AR32" s="32">
        <f t="shared" si="12"/>
        <v>-6225</v>
      </c>
      <c r="AS32" s="32">
        <v>8759</v>
      </c>
    </row>
    <row r="33" spans="1:45" x14ac:dyDescent="0.2">
      <c r="A33" s="5" t="s">
        <v>477</v>
      </c>
      <c r="B33" s="32">
        <f t="shared" si="0"/>
        <v>-2893</v>
      </c>
      <c r="C33" s="32">
        <f t="shared" si="1"/>
        <v>-3024</v>
      </c>
      <c r="D33" s="32">
        <f t="shared" si="2"/>
        <v>-5080</v>
      </c>
      <c r="E33" s="32">
        <f t="shared" si="3"/>
        <v>-1427</v>
      </c>
      <c r="F33" s="32">
        <f t="shared" si="4"/>
        <v>-3899</v>
      </c>
      <c r="G33" s="32">
        <f t="shared" si="5"/>
        <v>-3746</v>
      </c>
      <c r="H33" s="32">
        <f t="shared" si="6"/>
        <v>-6953</v>
      </c>
      <c r="I33" s="32">
        <f t="shared" si="7"/>
        <v>9036</v>
      </c>
      <c r="J33" s="32">
        <f t="shared" si="8"/>
        <v>544</v>
      </c>
      <c r="K33" s="32">
        <f t="shared" si="9"/>
        <v>2642</v>
      </c>
      <c r="L33" s="32">
        <f t="shared" si="13"/>
        <v>-2386</v>
      </c>
      <c r="M33" s="32">
        <f t="shared" si="10"/>
        <v>-2212</v>
      </c>
      <c r="N33" s="32">
        <f>3707</f>
        <v>3707</v>
      </c>
      <c r="O33" s="32">
        <f>-14889</f>
        <v>-14889</v>
      </c>
      <c r="Q33" s="32">
        <v>-915</v>
      </c>
      <c r="R33" s="32">
        <v>-1978</v>
      </c>
      <c r="S33" s="32">
        <v>-401</v>
      </c>
      <c r="T33" s="32">
        <v>-2623</v>
      </c>
      <c r="U33" s="32">
        <v>-3243</v>
      </c>
      <c r="V33" s="32">
        <v>-1837</v>
      </c>
      <c r="W33" s="32">
        <v>-2093</v>
      </c>
      <c r="X33" s="32">
        <v>666</v>
      </c>
      <c r="Y33" s="32">
        <v>-366</v>
      </c>
      <c r="Z33" s="32">
        <v>-3533</v>
      </c>
      <c r="AA33" s="32">
        <v>-2381</v>
      </c>
      <c r="AB33" s="32">
        <v>-1365</v>
      </c>
      <c r="AC33" s="32">
        <v>-7998</v>
      </c>
      <c r="AD33" s="32">
        <v>1045</v>
      </c>
      <c r="AE33" s="32">
        <v>4391</v>
      </c>
      <c r="AF33" s="32">
        <v>4645</v>
      </c>
      <c r="AG33" s="32">
        <v>-1862</v>
      </c>
      <c r="AH33" s="32">
        <v>2406</v>
      </c>
      <c r="AI33" s="32">
        <v>2635</v>
      </c>
      <c r="AJ33" s="32">
        <v>7</v>
      </c>
      <c r="AK33" s="32">
        <v>-3421</v>
      </c>
      <c r="AL33" s="32">
        <v>1035</v>
      </c>
      <c r="AM33" s="32">
        <v>1075</v>
      </c>
      <c r="AN33" s="32">
        <v>-3287</v>
      </c>
      <c r="AO33" s="32">
        <v>-2847</v>
      </c>
      <c r="AP33" s="32">
        <f t="shared" si="11"/>
        <v>6554</v>
      </c>
      <c r="AQ33" s="32">
        <f>-7296</f>
        <v>-7296</v>
      </c>
      <c r="AR33" s="32">
        <f t="shared" si="12"/>
        <v>-7593</v>
      </c>
      <c r="AS33" s="32">
        <f>-2591</f>
        <v>-2591</v>
      </c>
    </row>
    <row r="34" spans="1:45" x14ac:dyDescent="0.2">
      <c r="A34" s="5" t="s">
        <v>265</v>
      </c>
      <c r="B34" s="32">
        <f>SUM(Q34:R34)</f>
        <v>0</v>
      </c>
      <c r="C34" s="32">
        <f>SUM(S34:T34)</f>
        <v>0</v>
      </c>
      <c r="D34" s="32">
        <f>SUM(U34:V34)</f>
        <v>0</v>
      </c>
      <c r="E34" s="32">
        <f>SUM(W34:X34)</f>
        <v>0</v>
      </c>
      <c r="F34" s="32">
        <f>SUM(Y34:Z34)</f>
        <v>0</v>
      </c>
      <c r="G34" s="32">
        <f>SUM(AA34:AB34)</f>
        <v>0</v>
      </c>
      <c r="H34" s="32">
        <f>SUM(AC34:AD34)</f>
        <v>-203</v>
      </c>
      <c r="I34" s="32">
        <f>SUM(AE34:AF34)</f>
        <v>-57</v>
      </c>
      <c r="J34" s="32">
        <f>SUM(AG34:AH34)</f>
        <v>-1219</v>
      </c>
      <c r="K34" s="32">
        <f>SUM(AI34:AJ34)</f>
        <v>-4675</v>
      </c>
      <c r="L34" s="32">
        <f>SUM(AK34:AL34)</f>
        <v>-18194</v>
      </c>
      <c r="M34" s="32">
        <f>SUM(AM34:AN34)</f>
        <v>-24029</v>
      </c>
      <c r="N34" s="32">
        <v>-25990</v>
      </c>
      <c r="O34" s="32">
        <f>-70894</f>
        <v>-70894</v>
      </c>
      <c r="Q34" s="32">
        <v>0</v>
      </c>
      <c r="R34" s="32">
        <v>0</v>
      </c>
      <c r="S34" s="32">
        <v>0</v>
      </c>
      <c r="T34" s="32">
        <v>0</v>
      </c>
      <c r="U34" s="32">
        <v>0</v>
      </c>
      <c r="V34" s="32">
        <v>0</v>
      </c>
      <c r="W34" s="32">
        <v>0</v>
      </c>
      <c r="X34" s="32">
        <v>0</v>
      </c>
      <c r="Y34" s="32">
        <v>0</v>
      </c>
      <c r="Z34" s="32">
        <v>0</v>
      </c>
      <c r="AA34" s="32">
        <v>0</v>
      </c>
      <c r="AB34" s="32">
        <v>0</v>
      </c>
      <c r="AC34" s="32">
        <v>-991</v>
      </c>
      <c r="AD34" s="32">
        <v>788</v>
      </c>
      <c r="AE34" s="32">
        <v>1023</v>
      </c>
      <c r="AF34" s="32">
        <v>-1080</v>
      </c>
      <c r="AG34" s="32">
        <v>-333</v>
      </c>
      <c r="AH34" s="32">
        <v>-886</v>
      </c>
      <c r="AI34" s="32">
        <v>-1513</v>
      </c>
      <c r="AJ34" s="32">
        <v>-3162</v>
      </c>
      <c r="AK34" s="32">
        <v>-5237</v>
      </c>
      <c r="AL34" s="32">
        <v>-12957</v>
      </c>
      <c r="AM34" s="32">
        <v>-8788</v>
      </c>
      <c r="AN34" s="32">
        <v>-15241</v>
      </c>
      <c r="AO34" s="32">
        <v>-5641</v>
      </c>
      <c r="AP34" s="32">
        <f t="shared" si="11"/>
        <v>-20349</v>
      </c>
      <c r="AQ34" s="32">
        <f>-30474</f>
        <v>-30474</v>
      </c>
      <c r="AR34" s="32">
        <f t="shared" si="12"/>
        <v>-40420</v>
      </c>
      <c r="AS34" s="32">
        <f>-38402</f>
        <v>-38402</v>
      </c>
    </row>
    <row r="35" spans="1:45" x14ac:dyDescent="0.2">
      <c r="A35" s="32" t="s">
        <v>408</v>
      </c>
      <c r="B35" s="32">
        <f>0</f>
        <v>0</v>
      </c>
      <c r="C35" s="32">
        <f>0</f>
        <v>0</v>
      </c>
      <c r="D35" s="32">
        <f>0</f>
        <v>0</v>
      </c>
      <c r="E35" s="32">
        <f>0</f>
        <v>0</v>
      </c>
      <c r="F35" s="32">
        <f>0</f>
        <v>0</v>
      </c>
      <c r="G35" s="32">
        <f>0</f>
        <v>0</v>
      </c>
      <c r="H35" s="32">
        <f>0</f>
        <v>0</v>
      </c>
      <c r="I35" s="32">
        <f>0</f>
        <v>0</v>
      </c>
      <c r="J35" s="32">
        <f>0</f>
        <v>0</v>
      </c>
      <c r="K35" s="32">
        <f>0</f>
        <v>0</v>
      </c>
      <c r="L35" s="32">
        <f>0</f>
        <v>0</v>
      </c>
      <c r="M35" s="32">
        <f>0</f>
        <v>0</v>
      </c>
      <c r="N35" s="32">
        <f>-465</f>
        <v>-465</v>
      </c>
      <c r="O35" s="32">
        <f>-1360</f>
        <v>-1360</v>
      </c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>
        <f>-1182</f>
        <v>-1182</v>
      </c>
      <c r="AR35" s="32">
        <f t="shared" si="12"/>
        <v>-178</v>
      </c>
      <c r="AS35" s="32">
        <f>114</f>
        <v>114</v>
      </c>
    </row>
    <row r="36" spans="1:45" x14ac:dyDescent="0.2">
      <c r="A36" s="32" t="s">
        <v>409</v>
      </c>
      <c r="B36" s="32">
        <f>0</f>
        <v>0</v>
      </c>
      <c r="C36" s="32">
        <f>0</f>
        <v>0</v>
      </c>
      <c r="D36" s="32">
        <f>0</f>
        <v>0</v>
      </c>
      <c r="E36" s="32">
        <f>0</f>
        <v>0</v>
      </c>
      <c r="F36" s="32">
        <f>0</f>
        <v>0</v>
      </c>
      <c r="G36" s="32">
        <f>0</f>
        <v>0</v>
      </c>
      <c r="H36" s="32">
        <f>0</f>
        <v>0</v>
      </c>
      <c r="I36" s="32">
        <f>0</f>
        <v>0</v>
      </c>
      <c r="J36" s="32">
        <f>0</f>
        <v>0</v>
      </c>
      <c r="K36" s="32">
        <f>0</f>
        <v>0</v>
      </c>
      <c r="L36" s="32">
        <f>0</f>
        <v>0</v>
      </c>
      <c r="M36" s="32">
        <f>0</f>
        <v>0</v>
      </c>
      <c r="N36" s="32">
        <f>-3291</f>
        <v>-3291</v>
      </c>
      <c r="O36" s="32">
        <f>-1137</f>
        <v>-1137</v>
      </c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>
        <f>-2000</f>
        <v>-2000</v>
      </c>
      <c r="AR36" s="32">
        <f t="shared" si="12"/>
        <v>863</v>
      </c>
      <c r="AS36" s="32">
        <f>407</f>
        <v>407</v>
      </c>
    </row>
    <row r="37" spans="1:45" x14ac:dyDescent="0.2">
      <c r="A37" s="5" t="s">
        <v>266</v>
      </c>
      <c r="B37" s="32">
        <f t="shared" si="0"/>
        <v>-818</v>
      </c>
      <c r="C37" s="32">
        <f t="shared" si="1"/>
        <v>4074</v>
      </c>
      <c r="D37" s="32">
        <f t="shared" si="2"/>
        <v>4880</v>
      </c>
      <c r="E37" s="32">
        <f t="shared" si="3"/>
        <v>1184</v>
      </c>
      <c r="F37" s="32">
        <f t="shared" si="4"/>
        <v>2369</v>
      </c>
      <c r="G37" s="32">
        <f t="shared" si="5"/>
        <v>7812</v>
      </c>
      <c r="H37" s="32">
        <f t="shared" si="6"/>
        <v>161</v>
      </c>
      <c r="I37" s="32">
        <f t="shared" si="7"/>
        <v>-65</v>
      </c>
      <c r="J37" s="32">
        <f t="shared" si="8"/>
        <v>-9511</v>
      </c>
      <c r="K37" s="32">
        <f t="shared" si="9"/>
        <v>24390</v>
      </c>
      <c r="L37" s="32">
        <f t="shared" si="13"/>
        <v>5937</v>
      </c>
      <c r="M37" s="32">
        <f t="shared" si="10"/>
        <v>2424</v>
      </c>
      <c r="N37" s="32">
        <v>-4994</v>
      </c>
      <c r="O37" s="32">
        <f>-11221</f>
        <v>-11221</v>
      </c>
      <c r="Q37" s="32">
        <v>-437</v>
      </c>
      <c r="R37" s="32">
        <v>-381</v>
      </c>
      <c r="S37" s="32">
        <v>1434</v>
      </c>
      <c r="T37" s="32">
        <v>2640</v>
      </c>
      <c r="U37" s="32">
        <v>1478</v>
      </c>
      <c r="V37" s="32">
        <v>3402</v>
      </c>
      <c r="W37" s="32">
        <v>10135</v>
      </c>
      <c r="X37" s="32">
        <v>-8951</v>
      </c>
      <c r="Y37" s="32">
        <v>-1461</v>
      </c>
      <c r="Z37" s="32">
        <v>3830</v>
      </c>
      <c r="AA37" s="32">
        <v>8519</v>
      </c>
      <c r="AB37" s="32">
        <v>-707</v>
      </c>
      <c r="AC37" s="32">
        <v>-1024</v>
      </c>
      <c r="AD37" s="32">
        <v>1185</v>
      </c>
      <c r="AE37" s="32">
        <v>-2068</v>
      </c>
      <c r="AF37" s="32">
        <v>2003</v>
      </c>
      <c r="AG37" s="32">
        <v>-9286</v>
      </c>
      <c r="AH37" s="32">
        <v>-225</v>
      </c>
      <c r="AI37" s="32">
        <v>-2870</v>
      </c>
      <c r="AJ37" s="32">
        <v>27260</v>
      </c>
      <c r="AK37" s="32">
        <v>2062</v>
      </c>
      <c r="AL37" s="32">
        <v>3875</v>
      </c>
      <c r="AM37" s="32">
        <v>2401</v>
      </c>
      <c r="AN37" s="32">
        <v>23</v>
      </c>
      <c r="AO37" s="32">
        <v>-1810</v>
      </c>
      <c r="AP37" s="32">
        <f t="shared" si="11"/>
        <v>-3184</v>
      </c>
      <c r="AQ37" s="32">
        <f>-16092</f>
        <v>-16092</v>
      </c>
      <c r="AR37" s="32">
        <f t="shared" si="12"/>
        <v>4871</v>
      </c>
      <c r="AS37" s="32">
        <v>-629</v>
      </c>
    </row>
    <row r="38" spans="1:45" x14ac:dyDescent="0.2">
      <c r="A38" s="5" t="s">
        <v>267</v>
      </c>
      <c r="B38" s="32">
        <f>SUM(Q38:R38)</f>
        <v>0</v>
      </c>
      <c r="C38" s="32">
        <f>SUM(S38:T38)</f>
        <v>0</v>
      </c>
      <c r="D38" s="32">
        <f>SUM(U38:V38)</f>
        <v>0</v>
      </c>
      <c r="E38" s="32">
        <f>SUM(W38:X38)</f>
        <v>0</v>
      </c>
      <c r="F38" s="32">
        <f>SUM(Y38:Z38)</f>
        <v>0</v>
      </c>
      <c r="G38" s="32">
        <f>SUM(AA38:AB38)</f>
        <v>0</v>
      </c>
      <c r="H38" s="32">
        <f>SUM(AC38:AD38)</f>
        <v>1329</v>
      </c>
      <c r="I38" s="32">
        <f>SUM(AE38:AF38)</f>
        <v>1500</v>
      </c>
      <c r="J38" s="32">
        <f>SUM(AG38:AH38)</f>
        <v>9290</v>
      </c>
      <c r="K38" s="32">
        <f>SUM(AI38:AJ38)</f>
        <v>-8088</v>
      </c>
      <c r="L38" s="32">
        <f>SUM(AK38:AL38)</f>
        <v>-14194</v>
      </c>
      <c r="M38" s="32">
        <f>SUM(AM38:AN38)</f>
        <v>-3577</v>
      </c>
      <c r="N38" s="32">
        <v>-3291</v>
      </c>
      <c r="O38" s="32">
        <f>3425</f>
        <v>3425</v>
      </c>
      <c r="Q38" s="32">
        <v>0</v>
      </c>
      <c r="R38" s="32">
        <v>0</v>
      </c>
      <c r="S38" s="32">
        <v>0</v>
      </c>
      <c r="T38" s="32">
        <v>0</v>
      </c>
      <c r="U38" s="32">
        <v>0</v>
      </c>
      <c r="V38" s="32">
        <v>0</v>
      </c>
      <c r="W38" s="32">
        <v>0</v>
      </c>
      <c r="X38" s="32">
        <v>0</v>
      </c>
      <c r="Y38" s="32">
        <v>0</v>
      </c>
      <c r="Z38" s="32">
        <v>0</v>
      </c>
      <c r="AA38" s="32">
        <v>0</v>
      </c>
      <c r="AB38" s="32">
        <v>0</v>
      </c>
      <c r="AC38" s="32">
        <v>7727</v>
      </c>
      <c r="AD38" s="32">
        <v>-6398</v>
      </c>
      <c r="AE38" s="32">
        <v>8492</v>
      </c>
      <c r="AF38" s="32">
        <v>-6992</v>
      </c>
      <c r="AG38" s="32">
        <v>13454</v>
      </c>
      <c r="AH38" s="32">
        <v>-4164</v>
      </c>
      <c r="AI38" s="32">
        <v>-3210</v>
      </c>
      <c r="AJ38" s="32">
        <v>-4878</v>
      </c>
      <c r="AK38" s="32">
        <v>-6266</v>
      </c>
      <c r="AL38" s="32">
        <v>-7928</v>
      </c>
      <c r="AM38" s="32">
        <v>-674</v>
      </c>
      <c r="AN38" s="32">
        <v>-2903</v>
      </c>
      <c r="AO38" s="32">
        <v>2724</v>
      </c>
      <c r="AP38" s="32">
        <f t="shared" si="11"/>
        <v>-6015</v>
      </c>
      <c r="AQ38" s="32">
        <f>3849</f>
        <v>3849</v>
      </c>
      <c r="AR38" s="32">
        <f t="shared" si="12"/>
        <v>-424</v>
      </c>
      <c r="AS38" s="32">
        <f>969</f>
        <v>969</v>
      </c>
    </row>
    <row r="39" spans="1:45" x14ac:dyDescent="0.2">
      <c r="A39" s="5" t="s">
        <v>268</v>
      </c>
      <c r="B39" s="32">
        <f t="shared" si="0"/>
        <v>367</v>
      </c>
      <c r="C39" s="32">
        <f t="shared" si="1"/>
        <v>-992</v>
      </c>
      <c r="D39" s="32">
        <f t="shared" si="2"/>
        <v>1109</v>
      </c>
      <c r="E39" s="32">
        <f t="shared" si="3"/>
        <v>594</v>
      </c>
      <c r="F39" s="32">
        <f t="shared" si="4"/>
        <v>1315</v>
      </c>
      <c r="G39" s="32">
        <f t="shared" si="5"/>
        <v>-1808</v>
      </c>
      <c r="H39" s="32">
        <f t="shared" si="6"/>
        <v>112</v>
      </c>
      <c r="I39" s="32">
        <f t="shared" si="7"/>
        <v>-883</v>
      </c>
      <c r="J39" s="32">
        <f t="shared" si="8"/>
        <v>-420</v>
      </c>
      <c r="K39" s="32">
        <f t="shared" si="9"/>
        <v>-278</v>
      </c>
      <c r="L39" s="32">
        <f t="shared" si="13"/>
        <v>108</v>
      </c>
      <c r="M39" s="32">
        <f t="shared" si="10"/>
        <v>-28</v>
      </c>
      <c r="N39" s="32">
        <v>-2964</v>
      </c>
      <c r="O39" s="32">
        <f>3403</f>
        <v>3403</v>
      </c>
      <c r="Q39" s="32">
        <v>-151</v>
      </c>
      <c r="R39" s="32">
        <v>518</v>
      </c>
      <c r="S39" s="32">
        <v>-410</v>
      </c>
      <c r="T39" s="32">
        <v>-582</v>
      </c>
      <c r="U39" s="32">
        <v>-317</v>
      </c>
      <c r="V39" s="32">
        <v>1426</v>
      </c>
      <c r="W39" s="32">
        <v>-324</v>
      </c>
      <c r="X39" s="32">
        <v>918</v>
      </c>
      <c r="Y39" s="32">
        <v>-600</v>
      </c>
      <c r="Z39" s="32">
        <v>1915</v>
      </c>
      <c r="AA39" s="32">
        <v>-1694</v>
      </c>
      <c r="AB39" s="32">
        <v>-114</v>
      </c>
      <c r="AC39" s="32">
        <v>-261</v>
      </c>
      <c r="AD39" s="32">
        <v>373</v>
      </c>
      <c r="AE39" s="32">
        <v>-654</v>
      </c>
      <c r="AF39" s="32">
        <v>-229</v>
      </c>
      <c r="AG39" s="32">
        <v>-316</v>
      </c>
      <c r="AH39" s="32">
        <v>-104</v>
      </c>
      <c r="AI39" s="32">
        <v>0</v>
      </c>
      <c r="AJ39" s="32">
        <v>-278</v>
      </c>
      <c r="AK39" s="32">
        <v>449</v>
      </c>
      <c r="AL39" s="32">
        <v>-341</v>
      </c>
      <c r="AM39" s="32">
        <v>617</v>
      </c>
      <c r="AN39" s="32">
        <v>-645</v>
      </c>
      <c r="AO39" s="32">
        <v>-327</v>
      </c>
      <c r="AP39" s="32">
        <f t="shared" si="11"/>
        <v>-2637</v>
      </c>
      <c r="AQ39" s="32">
        <f>236</f>
        <v>236</v>
      </c>
      <c r="AR39" s="32">
        <f t="shared" si="12"/>
        <v>3167</v>
      </c>
      <c r="AS39" s="32">
        <f>976</f>
        <v>976</v>
      </c>
    </row>
    <row r="40" spans="1:45" x14ac:dyDescent="0.2">
      <c r="A40" s="5" t="s">
        <v>269</v>
      </c>
      <c r="B40" s="32">
        <f t="shared" si="0"/>
        <v>24</v>
      </c>
      <c r="C40" s="32">
        <f t="shared" si="1"/>
        <v>3</v>
      </c>
      <c r="D40" s="32">
        <f t="shared" si="2"/>
        <v>25</v>
      </c>
      <c r="E40" s="32">
        <f t="shared" si="3"/>
        <v>-59</v>
      </c>
      <c r="F40" s="32">
        <f t="shared" si="4"/>
        <v>0</v>
      </c>
      <c r="G40" s="32">
        <f t="shared" si="5"/>
        <v>0</v>
      </c>
      <c r="H40" s="32">
        <f t="shared" si="6"/>
        <v>0</v>
      </c>
      <c r="I40" s="32">
        <f t="shared" si="7"/>
        <v>0</v>
      </c>
      <c r="J40" s="32">
        <f t="shared" si="8"/>
        <v>0</v>
      </c>
      <c r="K40" s="32">
        <f t="shared" si="9"/>
        <v>0</v>
      </c>
      <c r="L40" s="32">
        <f t="shared" si="13"/>
        <v>0</v>
      </c>
      <c r="M40" s="32">
        <f t="shared" si="10"/>
        <v>0</v>
      </c>
      <c r="N40" s="32">
        <f t="shared" si="10"/>
        <v>0</v>
      </c>
      <c r="O40" s="32">
        <f>0</f>
        <v>0</v>
      </c>
      <c r="Q40" s="32">
        <v>28</v>
      </c>
      <c r="R40" s="32">
        <v>-4</v>
      </c>
      <c r="S40" s="32">
        <v>21</v>
      </c>
      <c r="T40" s="32">
        <v>-18</v>
      </c>
      <c r="U40" s="32">
        <v>12</v>
      </c>
      <c r="V40" s="32">
        <v>13</v>
      </c>
      <c r="W40" s="32">
        <v>-11</v>
      </c>
      <c r="X40" s="32">
        <v>-48</v>
      </c>
      <c r="Y40" s="32">
        <v>0</v>
      </c>
      <c r="Z40" s="32">
        <v>0</v>
      </c>
      <c r="AA40" s="32">
        <v>0</v>
      </c>
      <c r="AB40" s="32">
        <v>0</v>
      </c>
      <c r="AC40" s="32">
        <v>0</v>
      </c>
      <c r="AD40" s="32">
        <v>0</v>
      </c>
      <c r="AE40" s="32">
        <v>0</v>
      </c>
      <c r="AF40" s="32">
        <v>0</v>
      </c>
      <c r="AG40" s="32"/>
      <c r="AH40" s="32">
        <v>0</v>
      </c>
      <c r="AI40" s="32">
        <v>0</v>
      </c>
      <c r="AJ40" s="32">
        <v>0</v>
      </c>
      <c r="AK40" s="32">
        <v>0</v>
      </c>
      <c r="AL40" s="32">
        <v>0</v>
      </c>
      <c r="AM40" s="32">
        <v>0</v>
      </c>
      <c r="AN40" s="32">
        <v>0</v>
      </c>
      <c r="AO40" s="32">
        <v>0</v>
      </c>
      <c r="AP40" s="32">
        <f t="shared" si="11"/>
        <v>0</v>
      </c>
      <c r="AQ40" s="32">
        <f>0</f>
        <v>0</v>
      </c>
      <c r="AR40" s="32">
        <f t="shared" si="12"/>
        <v>0</v>
      </c>
      <c r="AS40" s="32">
        <f>0</f>
        <v>0</v>
      </c>
    </row>
    <row r="41" spans="1:45" ht="15" x14ac:dyDescent="0.25">
      <c r="A41" s="70" t="s">
        <v>270</v>
      </c>
      <c r="B41" s="75">
        <f t="shared" si="0"/>
        <v>-878</v>
      </c>
      <c r="C41" s="75">
        <f t="shared" si="1"/>
        <v>-1194</v>
      </c>
      <c r="D41" s="75">
        <f t="shared" si="2"/>
        <v>1585</v>
      </c>
      <c r="E41" s="75">
        <f t="shared" si="3"/>
        <v>3744</v>
      </c>
      <c r="F41" s="75">
        <f t="shared" si="4"/>
        <v>-1151</v>
      </c>
      <c r="G41" s="75">
        <f t="shared" si="5"/>
        <v>6000</v>
      </c>
      <c r="H41" s="75">
        <f t="shared" si="6"/>
        <v>5062</v>
      </c>
      <c r="I41" s="75">
        <f t="shared" si="7"/>
        <v>18886</v>
      </c>
      <c r="J41" s="75">
        <f t="shared" si="8"/>
        <v>17275</v>
      </c>
      <c r="K41" s="75">
        <f t="shared" si="9"/>
        <v>8553</v>
      </c>
      <c r="L41" s="75">
        <f t="shared" si="13"/>
        <v>-13799</v>
      </c>
      <c r="M41" s="75">
        <f t="shared" si="10"/>
        <v>-39999</v>
      </c>
      <c r="N41" s="75">
        <f>SUM(N31:N40)</f>
        <v>-35998</v>
      </c>
      <c r="O41" s="75">
        <f>SUM(O31:O40)</f>
        <v>-76383</v>
      </c>
      <c r="P41" s="37"/>
      <c r="Q41" s="75">
        <v>141</v>
      </c>
      <c r="R41" s="75">
        <v>-1019</v>
      </c>
      <c r="S41" s="75">
        <v>1527</v>
      </c>
      <c r="T41" s="75">
        <v>-2721</v>
      </c>
      <c r="U41" s="75">
        <v>-285</v>
      </c>
      <c r="V41" s="75">
        <v>1870</v>
      </c>
      <c r="W41" s="75">
        <v>2327</v>
      </c>
      <c r="X41" s="75">
        <v>1417</v>
      </c>
      <c r="Y41" s="75">
        <v>-1833</v>
      </c>
      <c r="Z41" s="75">
        <v>682</v>
      </c>
      <c r="AA41" s="75">
        <v>5178</v>
      </c>
      <c r="AB41" s="75">
        <v>822</v>
      </c>
      <c r="AC41" s="75">
        <v>-91</v>
      </c>
      <c r="AD41" s="75">
        <v>5153</v>
      </c>
      <c r="AE41" s="75">
        <v>7847</v>
      </c>
      <c r="AF41" s="75">
        <v>11039</v>
      </c>
      <c r="AG41" s="75">
        <v>12708</v>
      </c>
      <c r="AH41" s="75">
        <v>4567</v>
      </c>
      <c r="AI41" s="75">
        <v>807</v>
      </c>
      <c r="AJ41" s="75">
        <v>7746</v>
      </c>
      <c r="AK41" s="75">
        <v>-3981</v>
      </c>
      <c r="AL41" s="75">
        <v>-9818</v>
      </c>
      <c r="AM41" s="75">
        <f>SUM(AM31:AM40)</f>
        <v>-16149</v>
      </c>
      <c r="AN41" s="75">
        <v>-23850</v>
      </c>
      <c r="AO41" s="75">
        <f>SUM(AO31:AO40)</f>
        <v>-14946</v>
      </c>
      <c r="AP41" s="75">
        <f t="shared" si="11"/>
        <v>-21052</v>
      </c>
      <c r="AQ41" s="75">
        <f>SUM(AQ31:AQ40)</f>
        <v>-34208</v>
      </c>
      <c r="AR41" s="75">
        <f t="shared" ref="AR41" si="27">SUM(AR31:AR40)</f>
        <v>-42175</v>
      </c>
      <c r="AS41" s="75">
        <f>SUM(AS31:AS40)</f>
        <v>-24649</v>
      </c>
    </row>
    <row r="42" spans="1:45" x14ac:dyDescent="0.2">
      <c r="A42" s="5" t="s">
        <v>271</v>
      </c>
      <c r="B42" s="32">
        <f t="shared" si="0"/>
        <v>-1897</v>
      </c>
      <c r="C42" s="32">
        <f t="shared" si="1"/>
        <v>-1833</v>
      </c>
      <c r="D42" s="32">
        <f t="shared" si="2"/>
        <v>-907</v>
      </c>
      <c r="E42" s="32">
        <f t="shared" si="3"/>
        <v>-1645</v>
      </c>
      <c r="F42" s="32">
        <f t="shared" si="4"/>
        <v>-2146</v>
      </c>
      <c r="G42" s="32">
        <f t="shared" si="5"/>
        <v>-1960</v>
      </c>
      <c r="H42" s="32">
        <f t="shared" si="6"/>
        <v>-2381</v>
      </c>
      <c r="I42" s="32">
        <f t="shared" si="7"/>
        <v>-1483</v>
      </c>
      <c r="J42" s="32">
        <f t="shared" si="8"/>
        <v>-3939</v>
      </c>
      <c r="K42" s="32">
        <f t="shared" si="9"/>
        <v>-4647</v>
      </c>
      <c r="L42" s="32">
        <f t="shared" si="13"/>
        <v>-3543</v>
      </c>
      <c r="M42" s="32">
        <f t="shared" si="10"/>
        <v>-5553</v>
      </c>
      <c r="N42" s="32">
        <v>-4518</v>
      </c>
      <c r="O42" s="32">
        <f>-2637</f>
        <v>-2637</v>
      </c>
      <c r="Q42" s="32">
        <v>-1370</v>
      </c>
      <c r="R42" s="32">
        <v>-527</v>
      </c>
      <c r="S42" s="32">
        <v>-936</v>
      </c>
      <c r="T42" s="32">
        <v>-897</v>
      </c>
      <c r="U42" s="32">
        <v>-632</v>
      </c>
      <c r="V42" s="32">
        <v>-275</v>
      </c>
      <c r="W42" s="32">
        <v>-742</v>
      </c>
      <c r="X42" s="32">
        <v>-903</v>
      </c>
      <c r="Y42" s="32">
        <v>-1605</v>
      </c>
      <c r="Z42" s="32">
        <v>-541</v>
      </c>
      <c r="AA42" s="32">
        <v>-1070</v>
      </c>
      <c r="AB42" s="32">
        <v>-890</v>
      </c>
      <c r="AC42" s="32">
        <v>-1018</v>
      </c>
      <c r="AD42" s="32">
        <v>-1363</v>
      </c>
      <c r="AE42" s="32">
        <v>-600</v>
      </c>
      <c r="AF42" s="32">
        <v>-883</v>
      </c>
      <c r="AG42" s="32">
        <v>-1620</v>
      </c>
      <c r="AH42" s="32">
        <v>-2319</v>
      </c>
      <c r="AI42" s="32">
        <v>-1731</v>
      </c>
      <c r="AJ42" s="32">
        <v>-2916</v>
      </c>
      <c r="AK42" s="32">
        <v>-1231</v>
      </c>
      <c r="AL42" s="32">
        <v>-2312</v>
      </c>
      <c r="AM42" s="32">
        <v>-1149</v>
      </c>
      <c r="AN42" s="32">
        <v>-4404</v>
      </c>
      <c r="AO42" s="32">
        <v>-1887</v>
      </c>
      <c r="AP42" s="32">
        <f t="shared" si="11"/>
        <v>-2631</v>
      </c>
      <c r="AQ42" s="32">
        <f>-2161</f>
        <v>-2161</v>
      </c>
      <c r="AR42" s="32">
        <f t="shared" si="12"/>
        <v>-476</v>
      </c>
      <c r="AS42" s="32">
        <f>-1659</f>
        <v>-1659</v>
      </c>
    </row>
    <row r="43" spans="1:45" x14ac:dyDescent="0.2">
      <c r="A43" s="5" t="s">
        <v>272</v>
      </c>
      <c r="B43" s="32">
        <f t="shared" si="0"/>
        <v>-1098</v>
      </c>
      <c r="C43" s="32">
        <f t="shared" si="1"/>
        <v>-1097</v>
      </c>
      <c r="D43" s="32">
        <f t="shared" si="2"/>
        <v>-1724</v>
      </c>
      <c r="E43" s="32">
        <f t="shared" si="3"/>
        <v>-1588</v>
      </c>
      <c r="F43" s="32">
        <f t="shared" si="4"/>
        <v>-2516</v>
      </c>
      <c r="G43" s="32">
        <f t="shared" si="5"/>
        <v>-2603</v>
      </c>
      <c r="H43" s="32">
        <f t="shared" si="6"/>
        <v>-2257</v>
      </c>
      <c r="I43" s="32">
        <f t="shared" si="7"/>
        <v>-2246</v>
      </c>
      <c r="J43" s="32">
        <f t="shared" si="8"/>
        <v>-4824</v>
      </c>
      <c r="K43" s="32">
        <f t="shared" si="9"/>
        <v>-4803</v>
      </c>
      <c r="L43" s="32">
        <f t="shared" si="13"/>
        <v>-4461</v>
      </c>
      <c r="M43" s="32">
        <f t="shared" si="10"/>
        <v>-5263</v>
      </c>
      <c r="N43" s="32">
        <v>-6015</v>
      </c>
      <c r="O43" s="32">
        <f>-10589</f>
        <v>-10589</v>
      </c>
      <c r="Q43" s="32">
        <v>-547</v>
      </c>
      <c r="R43" s="32">
        <v>-551</v>
      </c>
      <c r="S43" s="32">
        <v>-476</v>
      </c>
      <c r="T43" s="32">
        <v>-621</v>
      </c>
      <c r="U43" s="32">
        <v>-871</v>
      </c>
      <c r="V43" s="32">
        <v>-853</v>
      </c>
      <c r="W43" s="32">
        <v>-683</v>
      </c>
      <c r="X43" s="32">
        <v>-905</v>
      </c>
      <c r="Y43" s="32">
        <v>-1180</v>
      </c>
      <c r="Z43" s="32">
        <v>-1336</v>
      </c>
      <c r="AA43" s="32">
        <v>-1278</v>
      </c>
      <c r="AB43" s="32">
        <v>-1325</v>
      </c>
      <c r="AC43" s="32">
        <v>-1093</v>
      </c>
      <c r="AD43" s="32">
        <v>-1164</v>
      </c>
      <c r="AE43" s="32">
        <v>-1146</v>
      </c>
      <c r="AF43" s="32">
        <v>-1100</v>
      </c>
      <c r="AG43" s="32">
        <v>-2056</v>
      </c>
      <c r="AH43" s="32">
        <v>-2768</v>
      </c>
      <c r="AI43" s="32">
        <v>-2504</v>
      </c>
      <c r="AJ43" s="32">
        <v>-2299</v>
      </c>
      <c r="AK43" s="32">
        <v>-2097</v>
      </c>
      <c r="AL43" s="32">
        <v>-2364</v>
      </c>
      <c r="AM43" s="32">
        <v>-4385</v>
      </c>
      <c r="AN43" s="32">
        <v>-878</v>
      </c>
      <c r="AO43" s="32">
        <v>-2588</v>
      </c>
      <c r="AP43" s="32">
        <f t="shared" si="11"/>
        <v>-3427</v>
      </c>
      <c r="AQ43" s="32">
        <f>-5342</f>
        <v>-5342</v>
      </c>
      <c r="AR43" s="32">
        <f t="shared" si="12"/>
        <v>-5247</v>
      </c>
      <c r="AS43" s="32">
        <f>-8042</f>
        <v>-8042</v>
      </c>
    </row>
    <row r="44" spans="1:45" x14ac:dyDescent="0.2">
      <c r="A44" s="48" t="s">
        <v>273</v>
      </c>
      <c r="B44" s="76">
        <f t="shared" si="0"/>
        <v>-3873</v>
      </c>
      <c r="C44" s="76">
        <f t="shared" si="1"/>
        <v>-4124</v>
      </c>
      <c r="D44" s="76">
        <f t="shared" si="2"/>
        <v>-1046</v>
      </c>
      <c r="E44" s="76">
        <f t="shared" si="3"/>
        <v>511</v>
      </c>
      <c r="F44" s="76">
        <f t="shared" si="4"/>
        <v>-5813</v>
      </c>
      <c r="G44" s="76">
        <f t="shared" si="5"/>
        <v>1437</v>
      </c>
      <c r="H44" s="76">
        <f t="shared" si="6"/>
        <v>424</v>
      </c>
      <c r="I44" s="76">
        <f t="shared" si="7"/>
        <v>15157</v>
      </c>
      <c r="J44" s="76">
        <f t="shared" si="8"/>
        <v>8512</v>
      </c>
      <c r="K44" s="76">
        <f t="shared" si="9"/>
        <v>-897</v>
      </c>
      <c r="L44" s="76">
        <f>SUM(AK44:AL44)</f>
        <v>-21803</v>
      </c>
      <c r="M44" s="76">
        <f t="shared" si="10"/>
        <v>-50815</v>
      </c>
      <c r="N44" s="76">
        <f>SUM(N41:N43)</f>
        <v>-46531</v>
      </c>
      <c r="O44" s="76">
        <f>SUM(O41:O43)</f>
        <v>-89609</v>
      </c>
      <c r="P44" s="30"/>
      <c r="Q44" s="76">
        <v>-1776</v>
      </c>
      <c r="R44" s="76">
        <v>-2097</v>
      </c>
      <c r="S44" s="76">
        <v>115</v>
      </c>
      <c r="T44" s="76">
        <v>-4239</v>
      </c>
      <c r="U44" s="76">
        <v>-1788</v>
      </c>
      <c r="V44" s="76">
        <v>742</v>
      </c>
      <c r="W44" s="76">
        <v>902</v>
      </c>
      <c r="X44" s="76">
        <v>-391</v>
      </c>
      <c r="Y44" s="76">
        <v>-4618</v>
      </c>
      <c r="Z44" s="76">
        <v>-1195</v>
      </c>
      <c r="AA44" s="76">
        <v>2830</v>
      </c>
      <c r="AB44" s="76">
        <v>-1393</v>
      </c>
      <c r="AC44" s="76">
        <v>-2202</v>
      </c>
      <c r="AD44" s="76">
        <v>2626</v>
      </c>
      <c r="AE44" s="76">
        <v>6101</v>
      </c>
      <c r="AF44" s="76">
        <v>9056</v>
      </c>
      <c r="AG44" s="76">
        <v>9032</v>
      </c>
      <c r="AH44" s="76">
        <v>-520</v>
      </c>
      <c r="AI44" s="76">
        <v>-3428</v>
      </c>
      <c r="AJ44" s="76">
        <v>2531</v>
      </c>
      <c r="AK44" s="77">
        <v>-7309</v>
      </c>
      <c r="AL44" s="77">
        <v>-14494</v>
      </c>
      <c r="AM44" s="77">
        <f>SUM(AM41:AM43)</f>
        <v>-21683</v>
      </c>
      <c r="AN44" s="77">
        <v>-29132</v>
      </c>
      <c r="AO44" s="77">
        <f>SUM(AO41:AO43)</f>
        <v>-19421</v>
      </c>
      <c r="AP44" s="77">
        <f t="shared" si="11"/>
        <v>-27110</v>
      </c>
      <c r="AQ44" s="77">
        <f>SUM(AQ41:AQ43)</f>
        <v>-41711</v>
      </c>
      <c r="AR44" s="77">
        <f t="shared" ref="AR44" si="28">SUM(AR41:AR43)</f>
        <v>-47898</v>
      </c>
      <c r="AS44" s="77">
        <f>SUM(AS41:AS43)</f>
        <v>-34350</v>
      </c>
    </row>
    <row r="45" spans="1:45" x14ac:dyDescent="0.2">
      <c r="A45" s="49"/>
      <c r="B45" s="32"/>
      <c r="C45" s="32"/>
      <c r="D45" s="32"/>
      <c r="E45" s="32"/>
      <c r="F45" s="32"/>
      <c r="G45" s="32"/>
      <c r="H45" s="32"/>
      <c r="I45" s="32"/>
      <c r="J45" s="32"/>
      <c r="K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Q45" s="5"/>
      <c r="AR45" s="5"/>
      <c r="AS45" s="5"/>
    </row>
    <row r="46" spans="1:45" x14ac:dyDescent="0.2">
      <c r="A46" s="4" t="s">
        <v>274</v>
      </c>
      <c r="B46" s="32"/>
      <c r="C46" s="32"/>
      <c r="D46" s="32"/>
      <c r="E46" s="32"/>
      <c r="F46" s="32"/>
      <c r="G46" s="32"/>
      <c r="H46" s="32"/>
      <c r="I46" s="32"/>
      <c r="J46" s="32"/>
      <c r="K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Q46" s="5"/>
      <c r="AR46" s="5"/>
      <c r="AS46" s="5"/>
    </row>
    <row r="47" spans="1:45" x14ac:dyDescent="0.2">
      <c r="A47" s="5" t="s">
        <v>275</v>
      </c>
      <c r="B47" s="32">
        <f t="shared" ref="B47:B58" si="29">SUM(Q47:R47)</f>
        <v>117</v>
      </c>
      <c r="C47" s="32">
        <f t="shared" ref="C47:C58" si="30">SUM(S47:T47)</f>
        <v>71</v>
      </c>
      <c r="D47" s="32">
        <f t="shared" ref="D47:D58" si="31">SUM(U47:V47)</f>
        <v>15</v>
      </c>
      <c r="E47" s="32">
        <f t="shared" ref="E47:E58" si="32">SUM(W47:X47)</f>
        <v>66</v>
      </c>
      <c r="F47" s="32">
        <f t="shared" ref="F47:F58" si="33">SUM(Y47:Z47)</f>
        <v>188</v>
      </c>
      <c r="G47" s="32">
        <f t="shared" ref="G47:G58" si="34">SUM(AA47:AB47)</f>
        <v>93</v>
      </c>
      <c r="H47" s="32">
        <f t="shared" ref="H47:H58" si="35">SUM(AC47:AD47)</f>
        <v>294</v>
      </c>
      <c r="I47" s="32">
        <f t="shared" ref="I47:I58" si="36">SUM(AE47:AF47)</f>
        <v>57</v>
      </c>
      <c r="J47" s="32">
        <f t="shared" ref="J47:J58" si="37">SUM(AG47:AH47)</f>
        <v>346</v>
      </c>
      <c r="K47" s="32">
        <f t="shared" ref="K47:K58" si="38">SUM(AI47:AJ47)</f>
        <v>265</v>
      </c>
      <c r="L47" s="32">
        <f>SUM(AK47:AL47)</f>
        <v>266</v>
      </c>
      <c r="M47" s="32">
        <f t="shared" si="10"/>
        <v>10</v>
      </c>
      <c r="N47" s="32">
        <v>413</v>
      </c>
      <c r="O47" s="32">
        <f>996</f>
        <v>996</v>
      </c>
      <c r="Q47" s="32">
        <v>98</v>
      </c>
      <c r="R47" s="32">
        <v>19</v>
      </c>
      <c r="S47" s="32">
        <v>41</v>
      </c>
      <c r="T47" s="32">
        <v>30</v>
      </c>
      <c r="U47" s="32">
        <v>57</v>
      </c>
      <c r="V47" s="32">
        <v>-42</v>
      </c>
      <c r="W47" s="32">
        <v>52</v>
      </c>
      <c r="X47" s="32">
        <v>14</v>
      </c>
      <c r="Y47" s="32">
        <v>29</v>
      </c>
      <c r="Z47" s="32">
        <v>159</v>
      </c>
      <c r="AA47" s="32">
        <v>45</v>
      </c>
      <c r="AB47" s="32">
        <v>48</v>
      </c>
      <c r="AC47" s="32">
        <v>221</v>
      </c>
      <c r="AD47" s="32">
        <v>73</v>
      </c>
      <c r="AE47" s="32">
        <v>6</v>
      </c>
      <c r="AF47" s="32">
        <v>51</v>
      </c>
      <c r="AG47" s="32">
        <v>51</v>
      </c>
      <c r="AH47" s="32">
        <v>295</v>
      </c>
      <c r="AI47" s="32">
        <v>92</v>
      </c>
      <c r="AJ47" s="32">
        <v>173</v>
      </c>
      <c r="AK47" s="32">
        <v>195</v>
      </c>
      <c r="AL47" s="32">
        <v>71</v>
      </c>
      <c r="AM47" s="32">
        <v>31</v>
      </c>
      <c r="AN47" s="32">
        <v>-21</v>
      </c>
      <c r="AO47" s="32">
        <v>209</v>
      </c>
      <c r="AP47" s="32">
        <f t="shared" si="11"/>
        <v>204</v>
      </c>
      <c r="AQ47" s="32">
        <f>677</f>
        <v>677</v>
      </c>
      <c r="AR47" s="32">
        <f t="shared" si="12"/>
        <v>319</v>
      </c>
      <c r="AS47" s="32">
        <f>594</f>
        <v>594</v>
      </c>
    </row>
    <row r="48" spans="1:45" x14ac:dyDescent="0.2">
      <c r="A48" s="5" t="s">
        <v>276</v>
      </c>
      <c r="B48" s="32">
        <f t="shared" si="29"/>
        <v>0</v>
      </c>
      <c r="C48" s="32">
        <f t="shared" si="30"/>
        <v>0</v>
      </c>
      <c r="D48" s="32">
        <f t="shared" si="31"/>
        <v>0</v>
      </c>
      <c r="E48" s="32">
        <f t="shared" si="32"/>
        <v>0</v>
      </c>
      <c r="F48" s="32">
        <f t="shared" si="33"/>
        <v>0</v>
      </c>
      <c r="G48" s="32">
        <f t="shared" si="34"/>
        <v>0</v>
      </c>
      <c r="H48" s="32">
        <f t="shared" si="35"/>
        <v>232</v>
      </c>
      <c r="I48" s="32">
        <f t="shared" si="36"/>
        <v>8</v>
      </c>
      <c r="J48" s="32">
        <f t="shared" si="37"/>
        <v>76</v>
      </c>
      <c r="K48" s="32">
        <f t="shared" si="38"/>
        <v>440</v>
      </c>
      <c r="L48" s="32">
        <f t="shared" ref="L48:L58" si="39">SUM(AK48:AL48)</f>
        <v>474</v>
      </c>
      <c r="M48" s="32">
        <f t="shared" si="10"/>
        <v>12</v>
      </c>
      <c r="N48" s="32">
        <v>8</v>
      </c>
      <c r="O48" s="32">
        <f>65</f>
        <v>65</v>
      </c>
      <c r="Q48" s="32"/>
      <c r="R48" s="32">
        <v>0</v>
      </c>
      <c r="S48" s="32"/>
      <c r="T48" s="32">
        <v>0</v>
      </c>
      <c r="U48" s="32"/>
      <c r="V48" s="32">
        <v>0</v>
      </c>
      <c r="W48" s="32"/>
      <c r="X48" s="32">
        <v>0</v>
      </c>
      <c r="Y48" s="32"/>
      <c r="Z48" s="32">
        <v>0</v>
      </c>
      <c r="AA48" s="32">
        <v>0</v>
      </c>
      <c r="AB48" s="32">
        <v>0</v>
      </c>
      <c r="AC48" s="32">
        <v>224</v>
      </c>
      <c r="AD48" s="32">
        <v>8</v>
      </c>
      <c r="AE48" s="32">
        <v>8</v>
      </c>
      <c r="AF48" s="32">
        <v>0</v>
      </c>
      <c r="AG48" s="32">
        <v>0</v>
      </c>
      <c r="AH48" s="32">
        <v>76</v>
      </c>
      <c r="AI48" s="32">
        <v>62</v>
      </c>
      <c r="AJ48" s="32">
        <v>378</v>
      </c>
      <c r="AK48" s="32">
        <v>296</v>
      </c>
      <c r="AL48" s="32">
        <v>178</v>
      </c>
      <c r="AM48" s="32">
        <v>6</v>
      </c>
      <c r="AN48" s="32">
        <v>6</v>
      </c>
      <c r="AO48" s="32">
        <v>6</v>
      </c>
      <c r="AP48" s="32">
        <f t="shared" si="11"/>
        <v>2</v>
      </c>
      <c r="AQ48" s="32">
        <f>43</f>
        <v>43</v>
      </c>
      <c r="AR48" s="32">
        <f t="shared" si="12"/>
        <v>22</v>
      </c>
      <c r="AS48" s="32">
        <f>3</f>
        <v>3</v>
      </c>
    </row>
    <row r="49" spans="1:45" x14ac:dyDescent="0.2">
      <c r="A49" s="5" t="s">
        <v>277</v>
      </c>
      <c r="B49" s="32">
        <f t="shared" si="29"/>
        <v>140</v>
      </c>
      <c r="C49" s="32">
        <f t="shared" si="30"/>
        <v>552</v>
      </c>
      <c r="D49" s="32">
        <f t="shared" si="31"/>
        <v>611</v>
      </c>
      <c r="E49" s="32">
        <f t="shared" si="32"/>
        <v>823</v>
      </c>
      <c r="F49" s="32">
        <f t="shared" si="33"/>
        <v>1311</v>
      </c>
      <c r="G49" s="32">
        <f t="shared" si="34"/>
        <v>1153</v>
      </c>
      <c r="H49" s="32">
        <f t="shared" si="35"/>
        <v>918</v>
      </c>
      <c r="I49" s="32">
        <f t="shared" si="36"/>
        <v>1125</v>
      </c>
      <c r="J49" s="32">
        <f t="shared" si="37"/>
        <v>2167</v>
      </c>
      <c r="K49" s="32">
        <f t="shared" si="38"/>
        <v>1103</v>
      </c>
      <c r="L49" s="32">
        <f t="shared" si="39"/>
        <v>1763</v>
      </c>
      <c r="M49" s="32">
        <f t="shared" si="10"/>
        <v>1211</v>
      </c>
      <c r="N49" s="32">
        <v>1952</v>
      </c>
      <c r="O49" s="32">
        <f>1519</f>
        <v>1519</v>
      </c>
      <c r="Q49" s="32">
        <v>69</v>
      </c>
      <c r="R49" s="32">
        <v>71</v>
      </c>
      <c r="S49" s="32">
        <v>251</v>
      </c>
      <c r="T49" s="32">
        <v>301</v>
      </c>
      <c r="U49" s="32">
        <v>351</v>
      </c>
      <c r="V49" s="32">
        <v>260</v>
      </c>
      <c r="W49" s="32">
        <v>342</v>
      </c>
      <c r="X49" s="32">
        <v>481</v>
      </c>
      <c r="Y49" s="32">
        <v>802</v>
      </c>
      <c r="Z49" s="32">
        <v>509</v>
      </c>
      <c r="AA49" s="32">
        <v>580</v>
      </c>
      <c r="AB49" s="32">
        <v>573</v>
      </c>
      <c r="AC49" s="32">
        <v>410</v>
      </c>
      <c r="AD49" s="32">
        <v>508</v>
      </c>
      <c r="AE49" s="32">
        <v>431</v>
      </c>
      <c r="AF49" s="32">
        <v>694</v>
      </c>
      <c r="AG49" s="32">
        <v>1238</v>
      </c>
      <c r="AH49" s="32">
        <v>929</v>
      </c>
      <c r="AI49" s="32">
        <v>723</v>
      </c>
      <c r="AJ49" s="32">
        <v>380</v>
      </c>
      <c r="AK49" s="32">
        <v>496</v>
      </c>
      <c r="AL49" s="32">
        <v>1267</v>
      </c>
      <c r="AM49" s="32">
        <v>680</v>
      </c>
      <c r="AN49" s="32">
        <v>531</v>
      </c>
      <c r="AO49" s="32">
        <v>919</v>
      </c>
      <c r="AP49" s="32">
        <f t="shared" si="11"/>
        <v>1033</v>
      </c>
      <c r="AQ49" s="32">
        <f>649</f>
        <v>649</v>
      </c>
      <c r="AR49" s="32">
        <f t="shared" si="12"/>
        <v>870</v>
      </c>
      <c r="AS49" s="32">
        <f>883</f>
        <v>883</v>
      </c>
    </row>
    <row r="50" spans="1:45" x14ac:dyDescent="0.2">
      <c r="A50" s="5" t="s">
        <v>278</v>
      </c>
      <c r="B50" s="32">
        <f t="shared" si="29"/>
        <v>-726</v>
      </c>
      <c r="C50" s="32">
        <f t="shared" si="30"/>
        <v>-844</v>
      </c>
      <c r="D50" s="32">
        <f t="shared" si="31"/>
        <v>-431</v>
      </c>
      <c r="E50" s="32">
        <f t="shared" si="32"/>
        <v>-653</v>
      </c>
      <c r="F50" s="32">
        <f t="shared" si="33"/>
        <v>-369</v>
      </c>
      <c r="G50" s="32">
        <f t="shared" si="34"/>
        <v>-711</v>
      </c>
      <c r="H50" s="32">
        <f t="shared" si="35"/>
        <v>-707</v>
      </c>
      <c r="I50" s="32">
        <f t="shared" si="36"/>
        <v>-550</v>
      </c>
      <c r="J50" s="32">
        <f t="shared" si="37"/>
        <v>-496</v>
      </c>
      <c r="K50" s="32">
        <f t="shared" si="38"/>
        <v>-396</v>
      </c>
      <c r="L50" s="32">
        <f t="shared" si="39"/>
        <v>-560</v>
      </c>
      <c r="M50" s="32">
        <f t="shared" si="10"/>
        <v>-1201</v>
      </c>
      <c r="N50" s="32">
        <v>-2146</v>
      </c>
      <c r="O50" s="32">
        <f>-6467</f>
        <v>-6467</v>
      </c>
      <c r="Q50" s="32">
        <v>-191</v>
      </c>
      <c r="R50" s="32">
        <v>-535</v>
      </c>
      <c r="S50" s="32">
        <v>-297</v>
      </c>
      <c r="T50" s="32">
        <v>-547</v>
      </c>
      <c r="U50" s="32">
        <v>-160</v>
      </c>
      <c r="V50" s="32">
        <v>-271</v>
      </c>
      <c r="W50" s="32">
        <v>-364</v>
      </c>
      <c r="X50" s="32">
        <v>-289</v>
      </c>
      <c r="Y50" s="32">
        <v>-95</v>
      </c>
      <c r="Z50" s="32">
        <v>-274</v>
      </c>
      <c r="AA50" s="32">
        <v>-218</v>
      </c>
      <c r="AB50" s="32">
        <v>-493</v>
      </c>
      <c r="AC50" s="32">
        <v>-365</v>
      </c>
      <c r="AD50" s="32">
        <v>-342</v>
      </c>
      <c r="AE50" s="32">
        <v>-266</v>
      </c>
      <c r="AF50" s="32">
        <v>-284</v>
      </c>
      <c r="AG50" s="32">
        <v>-335</v>
      </c>
      <c r="AH50" s="32">
        <v>-161</v>
      </c>
      <c r="AI50" s="32">
        <v>-306</v>
      </c>
      <c r="AJ50" s="32">
        <v>-90</v>
      </c>
      <c r="AK50" s="32">
        <v>-236</v>
      </c>
      <c r="AL50" s="32">
        <v>-324</v>
      </c>
      <c r="AM50" s="32">
        <v>-331</v>
      </c>
      <c r="AN50" s="32">
        <v>-870</v>
      </c>
      <c r="AO50" s="32">
        <v>-981</v>
      </c>
      <c r="AP50" s="32">
        <f t="shared" si="11"/>
        <v>-1165</v>
      </c>
      <c r="AQ50" s="32">
        <f>-1640</f>
        <v>-1640</v>
      </c>
      <c r="AR50" s="32">
        <f t="shared" si="12"/>
        <v>-4827</v>
      </c>
      <c r="AS50" s="32">
        <v>-2424</v>
      </c>
    </row>
    <row r="51" spans="1:45" x14ac:dyDescent="0.2">
      <c r="A51" s="5" t="s">
        <v>279</v>
      </c>
      <c r="B51" s="32">
        <f t="shared" si="29"/>
        <v>-253</v>
      </c>
      <c r="C51" s="32">
        <f t="shared" si="30"/>
        <v>-371</v>
      </c>
      <c r="D51" s="32">
        <f t="shared" si="31"/>
        <v>-55</v>
      </c>
      <c r="E51" s="32">
        <f t="shared" si="32"/>
        <v>-178</v>
      </c>
      <c r="F51" s="32">
        <f t="shared" si="33"/>
        <v>-123</v>
      </c>
      <c r="G51" s="32">
        <f t="shared" si="34"/>
        <v>-435</v>
      </c>
      <c r="H51" s="32">
        <f t="shared" si="35"/>
        <v>-60</v>
      </c>
      <c r="I51" s="32">
        <f t="shared" si="36"/>
        <v>-91</v>
      </c>
      <c r="J51" s="32">
        <f t="shared" si="37"/>
        <v>48</v>
      </c>
      <c r="K51" s="32">
        <f t="shared" si="38"/>
        <v>-216</v>
      </c>
      <c r="L51" s="32">
        <f t="shared" si="39"/>
        <v>-823</v>
      </c>
      <c r="M51" s="32">
        <f t="shared" si="10"/>
        <v>-13</v>
      </c>
      <c r="N51" s="32">
        <v>-165</v>
      </c>
      <c r="O51" s="32">
        <f>-682</f>
        <v>-682</v>
      </c>
      <c r="Q51" s="32">
        <v>-61</v>
      </c>
      <c r="R51" s="32">
        <v>-192</v>
      </c>
      <c r="S51" s="32">
        <v>-11</v>
      </c>
      <c r="T51" s="32">
        <v>-360</v>
      </c>
      <c r="U51" s="32">
        <v>-37</v>
      </c>
      <c r="V51" s="32">
        <v>-18</v>
      </c>
      <c r="W51" s="32">
        <v>-16</v>
      </c>
      <c r="X51" s="32">
        <v>-162</v>
      </c>
      <c r="Y51" s="32">
        <v>-4</v>
      </c>
      <c r="Z51" s="32">
        <v>-119</v>
      </c>
      <c r="AA51" s="32">
        <v>-41</v>
      </c>
      <c r="AB51" s="32">
        <v>-394</v>
      </c>
      <c r="AC51" s="32">
        <v>-27</v>
      </c>
      <c r="AD51" s="32">
        <v>-33</v>
      </c>
      <c r="AE51" s="32">
        <v>-19</v>
      </c>
      <c r="AF51" s="32">
        <v>-72</v>
      </c>
      <c r="AG51" s="32">
        <v>-2</v>
      </c>
      <c r="AH51" s="32">
        <v>50</v>
      </c>
      <c r="AI51" s="32">
        <v>-8</v>
      </c>
      <c r="AJ51" s="32">
        <v>-208</v>
      </c>
      <c r="AK51" s="32">
        <v>-1</v>
      </c>
      <c r="AL51" s="32">
        <v>-822</v>
      </c>
      <c r="AM51" s="32">
        <v>31</v>
      </c>
      <c r="AN51" s="32">
        <v>-44</v>
      </c>
      <c r="AO51" s="32">
        <f>0</f>
        <v>0</v>
      </c>
      <c r="AP51" s="32">
        <f t="shared" si="11"/>
        <v>-165</v>
      </c>
      <c r="AQ51" s="32">
        <f>-370</f>
        <v>-370</v>
      </c>
      <c r="AR51" s="32">
        <f t="shared" si="12"/>
        <v>-312</v>
      </c>
      <c r="AS51" s="32">
        <f>-2911</f>
        <v>-2911</v>
      </c>
    </row>
    <row r="52" spans="1:45" x14ac:dyDescent="0.2">
      <c r="A52" s="5" t="s">
        <v>280</v>
      </c>
      <c r="B52" s="32">
        <f t="shared" si="29"/>
        <v>234</v>
      </c>
      <c r="C52" s="32">
        <f t="shared" si="30"/>
        <v>363</v>
      </c>
      <c r="D52" s="32">
        <f t="shared" si="31"/>
        <v>85</v>
      </c>
      <c r="E52" s="32">
        <f t="shared" si="32"/>
        <v>174</v>
      </c>
      <c r="F52" s="32">
        <f t="shared" si="33"/>
        <v>66</v>
      </c>
      <c r="G52" s="32">
        <f t="shared" si="34"/>
        <v>25</v>
      </c>
      <c r="H52" s="32">
        <f t="shared" si="35"/>
        <v>93</v>
      </c>
      <c r="I52" s="32">
        <f t="shared" si="36"/>
        <v>6</v>
      </c>
      <c r="J52" s="32">
        <f t="shared" si="37"/>
        <v>0</v>
      </c>
      <c r="K52" s="32">
        <f t="shared" si="38"/>
        <v>2</v>
      </c>
      <c r="L52" s="32">
        <f t="shared" si="39"/>
        <v>7</v>
      </c>
      <c r="M52" s="32">
        <f t="shared" si="10"/>
        <v>64</v>
      </c>
      <c r="N52" s="32">
        <v>173</v>
      </c>
      <c r="O52" s="32">
        <f>1</f>
        <v>1</v>
      </c>
      <c r="Q52" s="32">
        <v>53</v>
      </c>
      <c r="R52" s="32">
        <v>181</v>
      </c>
      <c r="S52" s="32">
        <v>23</v>
      </c>
      <c r="T52" s="32">
        <v>340</v>
      </c>
      <c r="U52" s="32">
        <v>17</v>
      </c>
      <c r="V52" s="32">
        <v>68</v>
      </c>
      <c r="W52" s="32">
        <v>79</v>
      </c>
      <c r="X52" s="32">
        <v>95</v>
      </c>
      <c r="Y52" s="32">
        <v>21</v>
      </c>
      <c r="Z52" s="32">
        <v>45</v>
      </c>
      <c r="AA52" s="32">
        <v>17</v>
      </c>
      <c r="AB52" s="32">
        <v>8</v>
      </c>
      <c r="AC52" s="32">
        <v>317</v>
      </c>
      <c r="AD52" s="32">
        <v>-224</v>
      </c>
      <c r="AE52" s="32">
        <v>34</v>
      </c>
      <c r="AF52" s="32">
        <v>-28</v>
      </c>
      <c r="AG52" s="32">
        <v>18</v>
      </c>
      <c r="AH52" s="32">
        <v>-18</v>
      </c>
      <c r="AI52" s="32">
        <v>29</v>
      </c>
      <c r="AJ52" s="32">
        <v>-27</v>
      </c>
      <c r="AK52" s="32">
        <v>72</v>
      </c>
      <c r="AL52" s="32">
        <v>-65</v>
      </c>
      <c r="AM52" s="32">
        <v>-30</v>
      </c>
      <c r="AN52" s="32">
        <v>94</v>
      </c>
      <c r="AO52" s="32">
        <f>15</f>
        <v>15</v>
      </c>
      <c r="AP52" s="32">
        <f t="shared" si="11"/>
        <v>158</v>
      </c>
      <c r="AQ52" s="32">
        <f>0</f>
        <v>0</v>
      </c>
      <c r="AR52" s="32">
        <f t="shared" si="12"/>
        <v>1</v>
      </c>
      <c r="AS52" s="32">
        <f>2703</f>
        <v>2703</v>
      </c>
    </row>
    <row r="53" spans="1:45" x14ac:dyDescent="0.2">
      <c r="A53" s="5" t="s">
        <v>281</v>
      </c>
      <c r="B53" s="32">
        <f t="shared" si="29"/>
        <v>-17</v>
      </c>
      <c r="C53" s="32">
        <f t="shared" si="30"/>
        <v>-8</v>
      </c>
      <c r="D53" s="32">
        <f t="shared" si="31"/>
        <v>-20</v>
      </c>
      <c r="E53" s="32">
        <f t="shared" si="32"/>
        <v>7</v>
      </c>
      <c r="F53" s="32">
        <f t="shared" si="33"/>
        <v>0</v>
      </c>
      <c r="G53" s="32">
        <f t="shared" si="34"/>
        <v>0</v>
      </c>
      <c r="H53" s="32">
        <f t="shared" si="35"/>
        <v>0</v>
      </c>
      <c r="I53" s="32">
        <f t="shared" si="36"/>
        <v>0</v>
      </c>
      <c r="J53" s="32">
        <f t="shared" si="37"/>
        <v>19</v>
      </c>
      <c r="K53" s="32">
        <f t="shared" si="38"/>
        <v>0</v>
      </c>
      <c r="L53" s="32">
        <f t="shared" si="39"/>
        <v>32</v>
      </c>
      <c r="M53" s="32">
        <f t="shared" si="10"/>
        <v>0</v>
      </c>
      <c r="N53" s="32">
        <v>1</v>
      </c>
      <c r="O53" s="32">
        <f>0</f>
        <v>0</v>
      </c>
      <c r="Q53" s="32">
        <v>1</v>
      </c>
      <c r="R53" s="32">
        <v>-18</v>
      </c>
      <c r="S53" s="32">
        <v>0</v>
      </c>
      <c r="T53" s="32">
        <v>-8</v>
      </c>
      <c r="U53" s="32">
        <v>-7</v>
      </c>
      <c r="V53" s="32">
        <v>-13</v>
      </c>
      <c r="W53" s="32">
        <v>0</v>
      </c>
      <c r="X53" s="32">
        <v>7</v>
      </c>
      <c r="Y53" s="32">
        <v>-3</v>
      </c>
      <c r="Z53" s="32">
        <v>3</v>
      </c>
      <c r="AA53" s="32">
        <v>0</v>
      </c>
      <c r="AB53" s="32">
        <v>0</v>
      </c>
      <c r="AC53" s="32">
        <v>0</v>
      </c>
      <c r="AD53" s="32">
        <v>0</v>
      </c>
      <c r="AE53" s="32">
        <v>0</v>
      </c>
      <c r="AF53" s="32">
        <v>0</v>
      </c>
      <c r="AG53" s="32">
        <v>0</v>
      </c>
      <c r="AH53" s="32">
        <v>19</v>
      </c>
      <c r="AI53" s="32">
        <v>0</v>
      </c>
      <c r="AJ53" s="32">
        <v>0</v>
      </c>
      <c r="AK53" s="32">
        <v>28</v>
      </c>
      <c r="AL53" s="32">
        <v>4</v>
      </c>
      <c r="AM53" s="32">
        <v>0</v>
      </c>
      <c r="AN53" s="32">
        <v>0</v>
      </c>
      <c r="AO53" s="32">
        <v>0</v>
      </c>
      <c r="AP53" s="32">
        <f t="shared" si="11"/>
        <v>1</v>
      </c>
      <c r="AQ53" s="32">
        <f>0</f>
        <v>0</v>
      </c>
      <c r="AR53" s="32">
        <f t="shared" si="12"/>
        <v>0</v>
      </c>
      <c r="AS53" s="32">
        <f>0</f>
        <v>0</v>
      </c>
    </row>
    <row r="54" spans="1:45" x14ac:dyDescent="0.2">
      <c r="A54" s="5" t="s">
        <v>282</v>
      </c>
      <c r="B54" s="32">
        <v>0</v>
      </c>
      <c r="C54" s="32">
        <v>0</v>
      </c>
      <c r="D54" s="32">
        <v>0</v>
      </c>
      <c r="E54" s="32">
        <v>0</v>
      </c>
      <c r="F54" s="32">
        <v>0</v>
      </c>
      <c r="G54" s="32">
        <v>0</v>
      </c>
      <c r="H54" s="32">
        <v>0</v>
      </c>
      <c r="I54" s="32"/>
      <c r="J54" s="32">
        <v>0</v>
      </c>
      <c r="K54" s="32">
        <v>0</v>
      </c>
      <c r="L54" s="32">
        <f t="shared" si="39"/>
        <v>-389</v>
      </c>
      <c r="M54" s="32">
        <f t="shared" si="10"/>
        <v>-247</v>
      </c>
      <c r="N54" s="32">
        <v>-9014</v>
      </c>
      <c r="O54" s="32">
        <f>0</f>
        <v>0</v>
      </c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>
        <v>-389</v>
      </c>
      <c r="AM54" s="32">
        <v>-156</v>
      </c>
      <c r="AN54" s="32">
        <v>-91</v>
      </c>
      <c r="AO54" s="32">
        <v>0</v>
      </c>
      <c r="AP54" s="32">
        <f t="shared" si="11"/>
        <v>-9014</v>
      </c>
      <c r="AQ54" s="32">
        <f>0</f>
        <v>0</v>
      </c>
      <c r="AR54" s="32">
        <f t="shared" si="12"/>
        <v>0</v>
      </c>
      <c r="AS54" s="32">
        <f>0</f>
        <v>0</v>
      </c>
    </row>
    <row r="55" spans="1:45" x14ac:dyDescent="0.2">
      <c r="A55" s="5" t="s">
        <v>382</v>
      </c>
      <c r="B55" s="32">
        <f t="shared" si="29"/>
        <v>0</v>
      </c>
      <c r="C55" s="32">
        <f t="shared" si="30"/>
        <v>0</v>
      </c>
      <c r="D55" s="32">
        <f t="shared" si="31"/>
        <v>10</v>
      </c>
      <c r="E55" s="32">
        <f t="shared" si="32"/>
        <v>0</v>
      </c>
      <c r="F55" s="32">
        <f t="shared" si="33"/>
        <v>0</v>
      </c>
      <c r="G55" s="32">
        <f t="shared" si="34"/>
        <v>0</v>
      </c>
      <c r="H55" s="32">
        <f t="shared" si="35"/>
        <v>0</v>
      </c>
      <c r="I55" s="32">
        <f t="shared" si="36"/>
        <v>0</v>
      </c>
      <c r="J55" s="32">
        <f t="shared" si="37"/>
        <v>-10481</v>
      </c>
      <c r="K55" s="32">
        <f t="shared" si="38"/>
        <v>0</v>
      </c>
      <c r="L55" s="32">
        <f t="shared" si="39"/>
        <v>0</v>
      </c>
      <c r="M55" s="32">
        <f t="shared" si="10"/>
        <v>536</v>
      </c>
      <c r="N55" s="32">
        <v>0</v>
      </c>
      <c r="O55" s="32">
        <f>0</f>
        <v>0</v>
      </c>
      <c r="Q55" s="32">
        <v>0</v>
      </c>
      <c r="R55" s="32">
        <v>0</v>
      </c>
      <c r="S55" s="32">
        <v>0</v>
      </c>
      <c r="T55" s="32">
        <v>0</v>
      </c>
      <c r="U55" s="32">
        <v>0</v>
      </c>
      <c r="V55" s="32">
        <v>10</v>
      </c>
      <c r="W55" s="32">
        <v>0</v>
      </c>
      <c r="X55" s="32">
        <v>0</v>
      </c>
      <c r="Y55" s="32">
        <v>0</v>
      </c>
      <c r="Z55" s="32">
        <v>0</v>
      </c>
      <c r="AA55" s="32">
        <v>0</v>
      </c>
      <c r="AB55" s="32">
        <v>0</v>
      </c>
      <c r="AC55" s="32">
        <v>0</v>
      </c>
      <c r="AD55" s="32">
        <v>0</v>
      </c>
      <c r="AE55" s="32">
        <v>0</v>
      </c>
      <c r="AF55" s="32">
        <v>0</v>
      </c>
      <c r="AG55" s="32">
        <v>-10481</v>
      </c>
      <c r="AH55" s="32">
        <v>0</v>
      </c>
      <c r="AI55" s="32">
        <v>0</v>
      </c>
      <c r="AJ55" s="32">
        <v>0</v>
      </c>
      <c r="AK55" s="32">
        <v>0</v>
      </c>
      <c r="AL55" s="32">
        <v>0</v>
      </c>
      <c r="AM55" s="32">
        <v>533</v>
      </c>
      <c r="AN55" s="32">
        <v>3</v>
      </c>
      <c r="AO55" s="32">
        <v>0</v>
      </c>
      <c r="AP55" s="32">
        <f t="shared" si="11"/>
        <v>0</v>
      </c>
      <c r="AQ55" s="32">
        <f>0</f>
        <v>0</v>
      </c>
      <c r="AR55" s="32">
        <f t="shared" si="12"/>
        <v>0</v>
      </c>
      <c r="AS55" s="32">
        <f>0</f>
        <v>0</v>
      </c>
    </row>
    <row r="56" spans="1:45" x14ac:dyDescent="0.2">
      <c r="A56" s="5" t="s">
        <v>283</v>
      </c>
      <c r="B56" s="32">
        <f t="shared" si="29"/>
        <v>-1027</v>
      </c>
      <c r="C56" s="32">
        <f t="shared" si="30"/>
        <v>-5506</v>
      </c>
      <c r="D56" s="32">
        <f t="shared" si="31"/>
        <v>0</v>
      </c>
      <c r="E56" s="32">
        <f t="shared" si="32"/>
        <v>0</v>
      </c>
      <c r="F56" s="32">
        <f t="shared" si="33"/>
        <v>0</v>
      </c>
      <c r="G56" s="32">
        <f t="shared" si="34"/>
        <v>-265</v>
      </c>
      <c r="H56" s="32">
        <f t="shared" si="35"/>
        <v>-263</v>
      </c>
      <c r="I56" s="32">
        <f t="shared" si="36"/>
        <v>-112</v>
      </c>
      <c r="J56" s="32">
        <f t="shared" si="37"/>
        <v>-75</v>
      </c>
      <c r="K56" s="32">
        <f t="shared" si="38"/>
        <v>-139</v>
      </c>
      <c r="L56" s="32">
        <f t="shared" si="39"/>
        <v>-4</v>
      </c>
      <c r="M56" s="32">
        <f t="shared" si="10"/>
        <v>-1</v>
      </c>
      <c r="N56" s="32">
        <v>0</v>
      </c>
      <c r="O56" s="32">
        <f>0</f>
        <v>0</v>
      </c>
      <c r="Q56" s="32">
        <v>-493</v>
      </c>
      <c r="R56" s="32">
        <v>-534</v>
      </c>
      <c r="S56" s="32">
        <v>-1677</v>
      </c>
      <c r="T56" s="32">
        <v>-3829</v>
      </c>
      <c r="U56" s="32">
        <v>0</v>
      </c>
      <c r="V56" s="32">
        <v>0</v>
      </c>
      <c r="W56" s="32">
        <v>-964</v>
      </c>
      <c r="X56" s="32">
        <v>964</v>
      </c>
      <c r="Y56" s="32">
        <v>-1182</v>
      </c>
      <c r="Z56" s="32">
        <v>1182</v>
      </c>
      <c r="AA56" s="32">
        <v>-128</v>
      </c>
      <c r="AB56" s="32">
        <v>-137</v>
      </c>
      <c r="AC56" s="32">
        <v>-377</v>
      </c>
      <c r="AD56" s="32">
        <v>114</v>
      </c>
      <c r="AE56" s="32">
        <v>-190</v>
      </c>
      <c r="AF56" s="32">
        <v>78</v>
      </c>
      <c r="AG56" s="32">
        <v>-826</v>
      </c>
      <c r="AH56" s="32">
        <v>751</v>
      </c>
      <c r="AI56" s="32">
        <v>-104</v>
      </c>
      <c r="AJ56" s="32">
        <v>-35</v>
      </c>
      <c r="AK56" s="32">
        <v>-6</v>
      </c>
      <c r="AL56" s="32">
        <v>2</v>
      </c>
      <c r="AM56" s="32">
        <v>-3</v>
      </c>
      <c r="AN56" s="32">
        <v>2</v>
      </c>
      <c r="AO56" s="32">
        <v>0</v>
      </c>
      <c r="AP56" s="32">
        <f t="shared" si="11"/>
        <v>0</v>
      </c>
      <c r="AQ56" s="32">
        <f>0</f>
        <v>0</v>
      </c>
      <c r="AR56" s="32">
        <f t="shared" si="12"/>
        <v>0</v>
      </c>
      <c r="AS56" s="32">
        <f>0</f>
        <v>0</v>
      </c>
    </row>
    <row r="57" spans="1:45" x14ac:dyDescent="0.2">
      <c r="A57" s="5" t="s">
        <v>284</v>
      </c>
      <c r="B57" s="32">
        <f t="shared" si="29"/>
        <v>0</v>
      </c>
      <c r="C57" s="32">
        <f t="shared" si="30"/>
        <v>0</v>
      </c>
      <c r="D57" s="32">
        <f t="shared" si="31"/>
        <v>1606</v>
      </c>
      <c r="E57" s="32">
        <f t="shared" si="32"/>
        <v>3038</v>
      </c>
      <c r="F57" s="32">
        <f t="shared" si="33"/>
        <v>1155</v>
      </c>
      <c r="G57" s="32">
        <f t="shared" si="34"/>
        <v>507</v>
      </c>
      <c r="H57" s="32">
        <f t="shared" si="35"/>
        <v>385</v>
      </c>
      <c r="I57" s="32">
        <f t="shared" si="36"/>
        <v>153</v>
      </c>
      <c r="J57" s="32">
        <f t="shared" si="37"/>
        <v>1359</v>
      </c>
      <c r="K57" s="32">
        <f t="shared" si="38"/>
        <v>105</v>
      </c>
      <c r="L57" s="32">
        <f t="shared" si="39"/>
        <v>149</v>
      </c>
      <c r="M57" s="32">
        <f t="shared" si="10"/>
        <v>45</v>
      </c>
      <c r="N57" s="32">
        <f t="shared" si="10"/>
        <v>0</v>
      </c>
      <c r="O57" s="32">
        <f>0</f>
        <v>0</v>
      </c>
      <c r="Q57" s="32">
        <v>0</v>
      </c>
      <c r="R57" s="32">
        <v>0</v>
      </c>
      <c r="S57" s="32">
        <v>0</v>
      </c>
      <c r="T57" s="32">
        <v>0</v>
      </c>
      <c r="U57" s="32">
        <v>2850</v>
      </c>
      <c r="V57" s="32">
        <v>-1244</v>
      </c>
      <c r="W57" s="32">
        <v>0</v>
      </c>
      <c r="X57" s="32">
        <v>3038</v>
      </c>
      <c r="Y57" s="32">
        <v>584</v>
      </c>
      <c r="Z57" s="32">
        <v>571</v>
      </c>
      <c r="AA57" s="32">
        <v>15</v>
      </c>
      <c r="AB57" s="32">
        <v>492</v>
      </c>
      <c r="AC57" s="32">
        <v>40</v>
      </c>
      <c r="AD57" s="32">
        <v>345</v>
      </c>
      <c r="AE57" s="32">
        <v>153</v>
      </c>
      <c r="AF57" s="32">
        <v>0</v>
      </c>
      <c r="AG57" s="32">
        <v>885</v>
      </c>
      <c r="AH57" s="32">
        <v>474</v>
      </c>
      <c r="AI57" s="32">
        <v>105</v>
      </c>
      <c r="AJ57" s="32">
        <v>0</v>
      </c>
      <c r="AK57" s="32">
        <v>125</v>
      </c>
      <c r="AL57" s="32">
        <v>24</v>
      </c>
      <c r="AM57" s="32">
        <v>45</v>
      </c>
      <c r="AN57" s="32">
        <v>0</v>
      </c>
      <c r="AO57" s="32">
        <v>0</v>
      </c>
      <c r="AP57" s="32">
        <f t="shared" si="11"/>
        <v>0</v>
      </c>
      <c r="AQ57" s="32">
        <f>0</f>
        <v>0</v>
      </c>
      <c r="AR57" s="32">
        <f t="shared" si="12"/>
        <v>0</v>
      </c>
      <c r="AS57" s="32">
        <f>-23</f>
        <v>-23</v>
      </c>
    </row>
    <row r="58" spans="1:45" x14ac:dyDescent="0.2">
      <c r="A58" s="48" t="s">
        <v>285</v>
      </c>
      <c r="B58" s="76">
        <f t="shared" si="29"/>
        <v>-1532</v>
      </c>
      <c r="C58" s="76">
        <f t="shared" si="30"/>
        <v>-5743</v>
      </c>
      <c r="D58" s="76">
        <f t="shared" si="31"/>
        <v>1821</v>
      </c>
      <c r="E58" s="76">
        <f t="shared" si="32"/>
        <v>3277</v>
      </c>
      <c r="F58" s="76">
        <f t="shared" si="33"/>
        <v>2228</v>
      </c>
      <c r="G58" s="76">
        <f t="shared" si="34"/>
        <v>367</v>
      </c>
      <c r="H58" s="76">
        <f t="shared" si="35"/>
        <v>892</v>
      </c>
      <c r="I58" s="76">
        <f t="shared" si="36"/>
        <v>596</v>
      </c>
      <c r="J58" s="76">
        <f t="shared" si="37"/>
        <v>-7037</v>
      </c>
      <c r="K58" s="76">
        <f t="shared" si="38"/>
        <v>1164</v>
      </c>
      <c r="L58" s="76">
        <f t="shared" si="39"/>
        <v>915</v>
      </c>
      <c r="M58" s="76">
        <f t="shared" si="10"/>
        <v>416</v>
      </c>
      <c r="N58" s="76">
        <f>SUM(N47:N57)</f>
        <v>-8778</v>
      </c>
      <c r="O58" s="76">
        <f>SUM(O47:O57)</f>
        <v>-4568</v>
      </c>
      <c r="P58" s="30"/>
      <c r="Q58" s="76">
        <v>-524</v>
      </c>
      <c r="R58" s="76">
        <v>-1008</v>
      </c>
      <c r="S58" s="76">
        <v>-1670</v>
      </c>
      <c r="T58" s="76">
        <v>-4073</v>
      </c>
      <c r="U58" s="76">
        <v>3071</v>
      </c>
      <c r="V58" s="76">
        <v>-1250</v>
      </c>
      <c r="W58" s="76">
        <v>-871</v>
      </c>
      <c r="X58" s="76">
        <v>4148</v>
      </c>
      <c r="Y58" s="76">
        <v>152</v>
      </c>
      <c r="Z58" s="76">
        <v>2076</v>
      </c>
      <c r="AA58" s="76">
        <v>270</v>
      </c>
      <c r="AB58" s="76">
        <v>97</v>
      </c>
      <c r="AC58" s="76">
        <v>443</v>
      </c>
      <c r="AD58" s="76">
        <v>449</v>
      </c>
      <c r="AE58" s="76">
        <v>157</v>
      </c>
      <c r="AF58" s="76">
        <v>439</v>
      </c>
      <c r="AG58" s="76">
        <v>-9452</v>
      </c>
      <c r="AH58" s="76">
        <v>2415</v>
      </c>
      <c r="AI58" s="76">
        <v>593</v>
      </c>
      <c r="AJ58" s="76">
        <v>571</v>
      </c>
      <c r="AK58" s="77">
        <v>969</v>
      </c>
      <c r="AL58" s="77">
        <v>-54</v>
      </c>
      <c r="AM58" s="77">
        <f>SUM(AM47:AM57)</f>
        <v>806</v>
      </c>
      <c r="AN58" s="77">
        <v>-390</v>
      </c>
      <c r="AO58" s="77">
        <f>SUM(AO47:AO57)</f>
        <v>168</v>
      </c>
      <c r="AP58" s="77">
        <f t="shared" si="11"/>
        <v>-8946</v>
      </c>
      <c r="AQ58" s="77">
        <f>SUM(AQ47:AQ57)</f>
        <v>-641</v>
      </c>
      <c r="AR58" s="77">
        <f t="shared" ref="AR58" si="40">SUM(AR47:AR57)</f>
        <v>-3927</v>
      </c>
      <c r="AS58" s="77">
        <f>SUM(AS47:AS57)</f>
        <v>-1175</v>
      </c>
    </row>
    <row r="59" spans="1:45" x14ac:dyDescent="0.2">
      <c r="A59" s="50"/>
      <c r="B59" s="32"/>
      <c r="C59" s="32"/>
      <c r="D59" s="32"/>
      <c r="E59" s="32"/>
      <c r="F59" s="32"/>
      <c r="G59" s="32"/>
      <c r="H59" s="32"/>
      <c r="I59" s="32"/>
      <c r="J59" s="32"/>
      <c r="K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Q59" s="5"/>
      <c r="AR59" s="5"/>
      <c r="AS59" s="5"/>
    </row>
    <row r="60" spans="1:45" x14ac:dyDescent="0.2">
      <c r="A60" s="4" t="s">
        <v>286</v>
      </c>
      <c r="B60" s="32"/>
      <c r="C60" s="32"/>
      <c r="D60" s="32"/>
      <c r="E60" s="32"/>
      <c r="F60" s="32"/>
      <c r="G60" s="32"/>
      <c r="H60" s="32"/>
      <c r="I60" s="32"/>
      <c r="J60" s="32"/>
      <c r="K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Q60" s="5"/>
      <c r="AR60" s="5"/>
      <c r="AS60" s="5"/>
    </row>
    <row r="61" spans="1:45" x14ac:dyDescent="0.2">
      <c r="A61" s="5" t="s">
        <v>287</v>
      </c>
      <c r="B61" s="32">
        <f t="shared" ref="B61:B74" si="41">SUM(Q61:R61)</f>
        <v>13487</v>
      </c>
      <c r="C61" s="32">
        <f t="shared" ref="C61:C74" si="42">SUM(S61:T61)</f>
        <v>0</v>
      </c>
      <c r="D61" s="32">
        <f t="shared" ref="D61:D74" si="43">SUM(U61:V61)</f>
        <v>0</v>
      </c>
      <c r="E61" s="32">
        <f t="shared" ref="E61:E74" si="44">SUM(W61:X61)</f>
        <v>0</v>
      </c>
      <c r="F61" s="32">
        <f t="shared" ref="F61:F74" si="45">SUM(Y61:Z61)</f>
        <v>0</v>
      </c>
      <c r="G61" s="32">
        <f t="shared" ref="G61:G74" si="46">SUM(AA61:AB61)</f>
        <v>0</v>
      </c>
      <c r="H61" s="32">
        <f t="shared" ref="H61:H74" si="47">SUM(AC61:AD61)</f>
        <v>0</v>
      </c>
      <c r="I61" s="32">
        <f t="shared" ref="I61:I74" si="48">SUM(AE61:AF61)</f>
        <v>0</v>
      </c>
      <c r="J61" s="32">
        <f t="shared" ref="J61:J74" si="49">SUM(AG61:AH61)</f>
        <v>0</v>
      </c>
      <c r="K61" s="32">
        <f t="shared" ref="K61:K74" si="50">SUM(AI61:AJ61)</f>
        <v>0</v>
      </c>
      <c r="L61" s="32">
        <f>SUM(AK61:AL61)</f>
        <v>0</v>
      </c>
      <c r="M61" s="32">
        <f t="shared" si="10"/>
        <v>0</v>
      </c>
      <c r="N61" s="32">
        <f t="shared" si="10"/>
        <v>0</v>
      </c>
      <c r="O61" s="32">
        <f>0</f>
        <v>0</v>
      </c>
      <c r="Q61" s="32">
        <v>13487</v>
      </c>
      <c r="R61" s="32">
        <v>0</v>
      </c>
      <c r="S61" s="32">
        <v>0</v>
      </c>
      <c r="T61" s="32">
        <v>0</v>
      </c>
      <c r="U61" s="32">
        <v>0</v>
      </c>
      <c r="V61" s="32">
        <v>0</v>
      </c>
      <c r="W61" s="32">
        <v>0</v>
      </c>
      <c r="X61" s="32">
        <v>0</v>
      </c>
      <c r="Y61" s="32">
        <v>0</v>
      </c>
      <c r="Z61" s="32">
        <v>0</v>
      </c>
      <c r="AA61" s="32">
        <v>0</v>
      </c>
      <c r="AB61" s="32">
        <v>0</v>
      </c>
      <c r="AC61" s="32">
        <v>0</v>
      </c>
      <c r="AD61" s="32">
        <v>0</v>
      </c>
      <c r="AE61" s="32">
        <v>0</v>
      </c>
      <c r="AF61" s="32">
        <v>0</v>
      </c>
      <c r="AG61" s="32">
        <v>0</v>
      </c>
      <c r="AH61" s="32">
        <v>0</v>
      </c>
      <c r="AI61" s="32">
        <v>0</v>
      </c>
      <c r="AJ61" s="32">
        <v>0</v>
      </c>
      <c r="AK61" s="32">
        <v>0</v>
      </c>
      <c r="AL61" s="32">
        <v>0</v>
      </c>
      <c r="AM61" s="32">
        <v>0</v>
      </c>
      <c r="AN61" s="32">
        <v>0</v>
      </c>
      <c r="AO61" s="32"/>
      <c r="AP61" s="32">
        <f t="shared" si="11"/>
        <v>0</v>
      </c>
      <c r="AQ61" s="32">
        <f>0</f>
        <v>0</v>
      </c>
      <c r="AR61" s="32">
        <f t="shared" si="12"/>
        <v>0</v>
      </c>
      <c r="AS61" s="32">
        <f>0</f>
        <v>0</v>
      </c>
    </row>
    <row r="62" spans="1:45" x14ac:dyDescent="0.2">
      <c r="A62" s="5" t="s">
        <v>288</v>
      </c>
      <c r="B62" s="32">
        <f t="shared" si="41"/>
        <v>0</v>
      </c>
      <c r="C62" s="32">
        <f t="shared" si="42"/>
        <v>0</v>
      </c>
      <c r="D62" s="32">
        <f t="shared" si="43"/>
        <v>0</v>
      </c>
      <c r="E62" s="32">
        <f t="shared" si="44"/>
        <v>0</v>
      </c>
      <c r="F62" s="32">
        <f t="shared" si="45"/>
        <v>0</v>
      </c>
      <c r="G62" s="32">
        <f t="shared" si="46"/>
        <v>0</v>
      </c>
      <c r="H62" s="32">
        <f t="shared" si="47"/>
        <v>0</v>
      </c>
      <c r="I62" s="32">
        <f t="shared" si="48"/>
        <v>0</v>
      </c>
      <c r="J62" s="32">
        <f t="shared" si="49"/>
        <v>0</v>
      </c>
      <c r="K62" s="32">
        <f t="shared" si="50"/>
        <v>0</v>
      </c>
      <c r="L62" s="32">
        <f t="shared" ref="L62:L70" si="51">SUM(AK62:AL62)</f>
        <v>10881</v>
      </c>
      <c r="M62" s="32">
        <f t="shared" si="10"/>
        <v>0</v>
      </c>
      <c r="N62" s="32">
        <f t="shared" si="10"/>
        <v>0</v>
      </c>
      <c r="O62" s="32">
        <f>0</f>
        <v>0</v>
      </c>
      <c r="Q62" s="32">
        <v>0</v>
      </c>
      <c r="R62" s="32">
        <v>0</v>
      </c>
      <c r="S62" s="32">
        <v>0</v>
      </c>
      <c r="T62" s="32">
        <v>0</v>
      </c>
      <c r="U62" s="32">
        <v>0</v>
      </c>
      <c r="V62" s="32">
        <v>0</v>
      </c>
      <c r="W62" s="32">
        <v>0</v>
      </c>
      <c r="X62" s="32">
        <v>0</v>
      </c>
      <c r="Y62" s="32">
        <v>0</v>
      </c>
      <c r="Z62" s="32">
        <v>0</v>
      </c>
      <c r="AA62" s="32">
        <v>0</v>
      </c>
      <c r="AB62" s="32">
        <v>0</v>
      </c>
      <c r="AC62" s="32">
        <v>0</v>
      </c>
      <c r="AD62" s="32">
        <v>0</v>
      </c>
      <c r="AE62" s="32">
        <v>0</v>
      </c>
      <c r="AF62" s="32">
        <v>0</v>
      </c>
      <c r="AG62" s="32">
        <v>0</v>
      </c>
      <c r="AH62" s="32">
        <v>0</v>
      </c>
      <c r="AI62" s="32">
        <v>0</v>
      </c>
      <c r="AJ62" s="32">
        <v>0</v>
      </c>
      <c r="AK62" s="32">
        <v>11003</v>
      </c>
      <c r="AL62" s="32">
        <v>-122</v>
      </c>
      <c r="AM62" s="32">
        <v>0</v>
      </c>
      <c r="AN62" s="32">
        <v>0</v>
      </c>
      <c r="AO62" s="32"/>
      <c r="AP62" s="32">
        <f t="shared" si="11"/>
        <v>0</v>
      </c>
      <c r="AQ62" s="32">
        <f>0</f>
        <v>0</v>
      </c>
      <c r="AR62" s="32">
        <f t="shared" si="12"/>
        <v>0</v>
      </c>
      <c r="AS62" s="32">
        <f>0</f>
        <v>0</v>
      </c>
    </row>
    <row r="63" spans="1:45" x14ac:dyDescent="0.2">
      <c r="A63" s="5" t="s">
        <v>289</v>
      </c>
      <c r="B63" s="32">
        <f t="shared" si="41"/>
        <v>6353</v>
      </c>
      <c r="C63" s="32">
        <f t="shared" si="42"/>
        <v>12140</v>
      </c>
      <c r="D63" s="32">
        <f t="shared" si="43"/>
        <v>5937</v>
      </c>
      <c r="E63" s="32">
        <f t="shared" si="44"/>
        <v>10763</v>
      </c>
      <c r="F63" s="32">
        <f t="shared" si="45"/>
        <v>9480</v>
      </c>
      <c r="G63" s="32">
        <f t="shared" si="46"/>
        <v>9016</v>
      </c>
      <c r="H63" s="32">
        <f t="shared" si="47"/>
        <v>15889</v>
      </c>
      <c r="I63" s="32">
        <f t="shared" si="48"/>
        <v>4707</v>
      </c>
      <c r="J63" s="32">
        <f t="shared" si="49"/>
        <v>30332</v>
      </c>
      <c r="K63" s="32">
        <f t="shared" si="50"/>
        <v>8691</v>
      </c>
      <c r="L63" s="32">
        <f t="shared" si="51"/>
        <v>49071</v>
      </c>
      <c r="M63" s="32">
        <f t="shared" si="10"/>
        <v>43008</v>
      </c>
      <c r="N63" s="32">
        <v>73292</v>
      </c>
      <c r="O63" s="32">
        <f>120278</f>
        <v>120278</v>
      </c>
      <c r="Q63" s="32">
        <v>2280</v>
      </c>
      <c r="R63" s="32">
        <v>4073</v>
      </c>
      <c r="S63" s="32">
        <v>2769</v>
      </c>
      <c r="T63" s="32">
        <v>9371</v>
      </c>
      <c r="U63" s="32">
        <v>2785</v>
      </c>
      <c r="V63" s="32">
        <v>3152</v>
      </c>
      <c r="W63" s="32">
        <v>5627</v>
      </c>
      <c r="X63" s="32">
        <v>5136</v>
      </c>
      <c r="Y63" s="32">
        <v>4707</v>
      </c>
      <c r="Z63" s="32">
        <v>4773</v>
      </c>
      <c r="AA63" s="32">
        <v>5882</v>
      </c>
      <c r="AB63" s="32">
        <v>3134</v>
      </c>
      <c r="AC63" s="32">
        <v>4671</v>
      </c>
      <c r="AD63" s="32">
        <v>11218</v>
      </c>
      <c r="AE63" s="32">
        <v>3609</v>
      </c>
      <c r="AF63" s="32">
        <v>1098</v>
      </c>
      <c r="AG63" s="32">
        <v>15719</v>
      </c>
      <c r="AH63" s="32">
        <v>14613</v>
      </c>
      <c r="AI63" s="32">
        <v>1367</v>
      </c>
      <c r="AJ63" s="32">
        <v>7324</v>
      </c>
      <c r="AK63" s="32">
        <v>17855</v>
      </c>
      <c r="AL63" s="32">
        <v>31216</v>
      </c>
      <c r="AM63" s="32">
        <v>22739</v>
      </c>
      <c r="AN63" s="32">
        <v>20269</v>
      </c>
      <c r="AO63" s="32">
        <v>35652</v>
      </c>
      <c r="AP63" s="32">
        <f t="shared" si="11"/>
        <v>37640</v>
      </c>
      <c r="AQ63" s="32">
        <f>51071</f>
        <v>51071</v>
      </c>
      <c r="AR63" s="32">
        <f t="shared" si="12"/>
        <v>69207</v>
      </c>
      <c r="AS63" s="32">
        <f>51677</f>
        <v>51677</v>
      </c>
    </row>
    <row r="64" spans="1:45" x14ac:dyDescent="0.2">
      <c r="A64" s="5" t="s">
        <v>290</v>
      </c>
      <c r="B64" s="32">
        <f t="shared" si="41"/>
        <v>-4821</v>
      </c>
      <c r="C64" s="32">
        <f t="shared" si="42"/>
        <v>-5552</v>
      </c>
      <c r="D64" s="32">
        <f t="shared" si="43"/>
        <v>-9668</v>
      </c>
      <c r="E64" s="32">
        <f t="shared" si="44"/>
        <v>-8498</v>
      </c>
      <c r="F64" s="32">
        <f t="shared" si="45"/>
        <v>-6281</v>
      </c>
      <c r="G64" s="32">
        <f t="shared" si="46"/>
        <v>-10404</v>
      </c>
      <c r="H64" s="32">
        <f t="shared" si="47"/>
        <v>-10009</v>
      </c>
      <c r="I64" s="32">
        <f t="shared" si="48"/>
        <v>-7719</v>
      </c>
      <c r="J64" s="32">
        <f t="shared" si="49"/>
        <v>-4432</v>
      </c>
      <c r="K64" s="32">
        <f t="shared" si="50"/>
        <v>-10108</v>
      </c>
      <c r="L64" s="32">
        <f t="shared" si="51"/>
        <v>-14635</v>
      </c>
      <c r="M64" s="32">
        <f t="shared" si="10"/>
        <v>-11166</v>
      </c>
      <c r="N64" s="32">
        <v>-29150</v>
      </c>
      <c r="O64" s="32">
        <f>-29746</f>
        <v>-29746</v>
      </c>
      <c r="Q64" s="32">
        <v>-777</v>
      </c>
      <c r="R64" s="32">
        <v>-4044</v>
      </c>
      <c r="S64" s="32">
        <v>-2450</v>
      </c>
      <c r="T64" s="32">
        <v>-3102</v>
      </c>
      <c r="U64" s="32">
        <v>-6624</v>
      </c>
      <c r="V64" s="32">
        <v>-3044</v>
      </c>
      <c r="W64" s="32">
        <v>-4278</v>
      </c>
      <c r="X64" s="32">
        <v>-4220</v>
      </c>
      <c r="Y64" s="32">
        <v>-2323</v>
      </c>
      <c r="Z64" s="32">
        <v>-3958</v>
      </c>
      <c r="AA64" s="32">
        <v>-3635</v>
      </c>
      <c r="AB64" s="32">
        <v>-6769</v>
      </c>
      <c r="AC64" s="32">
        <v>-3678</v>
      </c>
      <c r="AD64" s="32">
        <v>-6331</v>
      </c>
      <c r="AE64" s="32">
        <v>-4716</v>
      </c>
      <c r="AF64" s="32">
        <v>-3003</v>
      </c>
      <c r="AG64" s="32">
        <v>-2126</v>
      </c>
      <c r="AH64" s="32">
        <v>-2306</v>
      </c>
      <c r="AI64" s="32">
        <v>-4958</v>
      </c>
      <c r="AJ64" s="32">
        <v>-5150</v>
      </c>
      <c r="AK64" s="32">
        <v>-7361</v>
      </c>
      <c r="AL64" s="32">
        <v>-7274</v>
      </c>
      <c r="AM64" s="32">
        <v>-6493</v>
      </c>
      <c r="AN64" s="32">
        <v>-4673</v>
      </c>
      <c r="AO64" s="32">
        <v>-13683</v>
      </c>
      <c r="AP64" s="32">
        <f t="shared" si="11"/>
        <v>-15467</v>
      </c>
      <c r="AQ64" s="32">
        <f>-11014</f>
        <v>-11014</v>
      </c>
      <c r="AR64" s="32">
        <f t="shared" si="12"/>
        <v>-18732</v>
      </c>
      <c r="AS64" s="32">
        <f>-14598</f>
        <v>-14598</v>
      </c>
    </row>
    <row r="65" spans="1:45" x14ac:dyDescent="0.2">
      <c r="A65" s="5" t="s">
        <v>291</v>
      </c>
      <c r="B65" s="32">
        <f t="shared" si="41"/>
        <v>-3</v>
      </c>
      <c r="C65" s="32">
        <f t="shared" si="42"/>
        <v>-3</v>
      </c>
      <c r="D65" s="32">
        <f t="shared" si="43"/>
        <v>-10</v>
      </c>
      <c r="E65" s="32">
        <f t="shared" si="44"/>
        <v>-83</v>
      </c>
      <c r="F65" s="32">
        <f t="shared" si="45"/>
        <v>-20</v>
      </c>
      <c r="G65" s="32">
        <f t="shared" si="46"/>
        <v>-94</v>
      </c>
      <c r="H65" s="32">
        <f t="shared" si="47"/>
        <v>-29</v>
      </c>
      <c r="I65" s="32">
        <f t="shared" si="48"/>
        <v>0</v>
      </c>
      <c r="J65" s="32">
        <f t="shared" si="49"/>
        <v>-14600</v>
      </c>
      <c r="K65" s="32">
        <f t="shared" si="50"/>
        <v>0</v>
      </c>
      <c r="L65" s="32">
        <f t="shared" si="51"/>
        <v>0</v>
      </c>
      <c r="M65" s="32">
        <f t="shared" si="10"/>
        <v>0</v>
      </c>
      <c r="N65" s="32">
        <f t="shared" si="10"/>
        <v>0</v>
      </c>
      <c r="O65" s="32">
        <f t="shared" si="10"/>
        <v>0</v>
      </c>
      <c r="Q65" s="32">
        <v>0</v>
      </c>
      <c r="R65" s="32">
        <v>-3</v>
      </c>
      <c r="S65" s="32">
        <v>0</v>
      </c>
      <c r="T65" s="32">
        <v>-3</v>
      </c>
      <c r="U65" s="32">
        <v>0</v>
      </c>
      <c r="V65" s="32">
        <v>-10</v>
      </c>
      <c r="W65" s="32">
        <v>0</v>
      </c>
      <c r="X65" s="32">
        <v>-83</v>
      </c>
      <c r="Y65" s="32">
        <v>-66</v>
      </c>
      <c r="Z65" s="32">
        <v>46</v>
      </c>
      <c r="AA65" s="32">
        <v>-38</v>
      </c>
      <c r="AB65" s="32">
        <v>-56</v>
      </c>
      <c r="AC65" s="32">
        <v>-30</v>
      </c>
      <c r="AD65" s="32">
        <v>1</v>
      </c>
      <c r="AE65" s="32">
        <v>0</v>
      </c>
      <c r="AF65" s="32">
        <v>0</v>
      </c>
      <c r="AG65" s="32">
        <v>0</v>
      </c>
      <c r="AH65" s="32">
        <v>-14600</v>
      </c>
      <c r="AI65" s="32">
        <v>0</v>
      </c>
      <c r="AJ65" s="32">
        <v>0</v>
      </c>
      <c r="AK65" s="32">
        <v>0</v>
      </c>
      <c r="AL65" s="32">
        <v>0</v>
      </c>
      <c r="AM65" s="32">
        <v>0</v>
      </c>
      <c r="AN65" s="32">
        <v>0</v>
      </c>
      <c r="AO65" s="32">
        <v>0</v>
      </c>
      <c r="AP65" s="32">
        <f t="shared" si="11"/>
        <v>0</v>
      </c>
      <c r="AQ65" s="32">
        <f>0</f>
        <v>0</v>
      </c>
      <c r="AR65" s="32">
        <f t="shared" si="12"/>
        <v>0</v>
      </c>
      <c r="AS65" s="32">
        <f>0</f>
        <v>0</v>
      </c>
    </row>
    <row r="66" spans="1:45" x14ac:dyDescent="0.2">
      <c r="A66" s="5" t="s">
        <v>292</v>
      </c>
      <c r="B66" s="32">
        <f t="shared" si="41"/>
        <v>24</v>
      </c>
      <c r="C66" s="32">
        <f t="shared" si="42"/>
        <v>0</v>
      </c>
      <c r="D66" s="32">
        <f t="shared" si="43"/>
        <v>0</v>
      </c>
      <c r="E66" s="32">
        <f t="shared" si="44"/>
        <v>0</v>
      </c>
      <c r="F66" s="32">
        <f t="shared" si="45"/>
        <v>0</v>
      </c>
      <c r="G66" s="32">
        <f t="shared" si="46"/>
        <v>0</v>
      </c>
      <c r="H66" s="32">
        <f t="shared" si="47"/>
        <v>0</v>
      </c>
      <c r="I66" s="32">
        <f t="shared" si="48"/>
        <v>0</v>
      </c>
      <c r="J66" s="32">
        <f t="shared" si="49"/>
        <v>0</v>
      </c>
      <c r="K66" s="32">
        <f t="shared" si="50"/>
        <v>0</v>
      </c>
      <c r="L66" s="32">
        <f t="shared" si="51"/>
        <v>0</v>
      </c>
      <c r="M66" s="32">
        <f t="shared" si="10"/>
        <v>0</v>
      </c>
      <c r="N66" s="32">
        <f t="shared" si="10"/>
        <v>0</v>
      </c>
      <c r="O66" s="32">
        <f t="shared" si="10"/>
        <v>0</v>
      </c>
      <c r="Q66" s="32">
        <v>24</v>
      </c>
      <c r="R66" s="32">
        <v>0</v>
      </c>
      <c r="S66" s="32">
        <v>0</v>
      </c>
      <c r="T66" s="32">
        <v>0</v>
      </c>
      <c r="U66" s="32">
        <v>0</v>
      </c>
      <c r="V66" s="32">
        <v>0</v>
      </c>
      <c r="W66" s="32">
        <v>0</v>
      </c>
      <c r="X66" s="32">
        <v>0</v>
      </c>
      <c r="Y66" s="32">
        <v>0</v>
      </c>
      <c r="Z66" s="32">
        <v>0</v>
      </c>
      <c r="AA66" s="32">
        <v>0</v>
      </c>
      <c r="AB66" s="32">
        <v>0</v>
      </c>
      <c r="AC66" s="32">
        <v>0</v>
      </c>
      <c r="AD66" s="32">
        <v>0</v>
      </c>
      <c r="AE66" s="32">
        <v>0</v>
      </c>
      <c r="AF66" s="32">
        <v>0</v>
      </c>
      <c r="AG66" s="32">
        <v>0</v>
      </c>
      <c r="AH66" s="32">
        <v>0</v>
      </c>
      <c r="AI66" s="32">
        <v>0</v>
      </c>
      <c r="AJ66" s="32">
        <v>0</v>
      </c>
      <c r="AK66" s="32">
        <v>0</v>
      </c>
      <c r="AL66" s="32">
        <v>0</v>
      </c>
      <c r="AM66" s="32">
        <v>0</v>
      </c>
      <c r="AN66" s="32">
        <v>0</v>
      </c>
      <c r="AO66" s="32">
        <v>0</v>
      </c>
      <c r="AP66" s="32">
        <f t="shared" si="11"/>
        <v>0</v>
      </c>
      <c r="AQ66" s="32">
        <f>0</f>
        <v>0</v>
      </c>
      <c r="AR66" s="32">
        <f t="shared" si="12"/>
        <v>0</v>
      </c>
      <c r="AS66" s="32">
        <f>0</f>
        <v>0</v>
      </c>
    </row>
    <row r="67" spans="1:45" x14ac:dyDescent="0.2">
      <c r="A67" s="5" t="s">
        <v>293</v>
      </c>
      <c r="B67" s="32">
        <f t="shared" si="41"/>
        <v>-459</v>
      </c>
      <c r="C67" s="32">
        <f t="shared" si="42"/>
        <v>-13</v>
      </c>
      <c r="D67" s="32">
        <f t="shared" si="43"/>
        <v>0</v>
      </c>
      <c r="E67" s="32">
        <f t="shared" si="44"/>
        <v>16</v>
      </c>
      <c r="F67" s="32">
        <f t="shared" si="45"/>
        <v>16</v>
      </c>
      <c r="G67" s="32">
        <f t="shared" si="46"/>
        <v>0</v>
      </c>
      <c r="H67" s="32">
        <f t="shared" si="47"/>
        <v>-628</v>
      </c>
      <c r="I67" s="32">
        <f t="shared" si="48"/>
        <v>-651</v>
      </c>
      <c r="J67" s="32">
        <f t="shared" si="49"/>
        <v>0</v>
      </c>
      <c r="K67" s="32">
        <f t="shared" si="50"/>
        <v>0</v>
      </c>
      <c r="L67" s="32">
        <f t="shared" si="51"/>
        <v>0</v>
      </c>
      <c r="M67" s="32">
        <f t="shared" si="10"/>
        <v>0</v>
      </c>
      <c r="N67" s="32">
        <f t="shared" si="10"/>
        <v>0</v>
      </c>
      <c r="O67" s="32">
        <f t="shared" si="10"/>
        <v>0</v>
      </c>
      <c r="Q67" s="32">
        <v>0</v>
      </c>
      <c r="R67" s="32">
        <v>-459</v>
      </c>
      <c r="S67" s="32">
        <v>-13</v>
      </c>
      <c r="T67" s="32">
        <v>0</v>
      </c>
      <c r="U67" s="32">
        <v>0</v>
      </c>
      <c r="V67" s="32">
        <v>0</v>
      </c>
      <c r="W67" s="32">
        <v>16</v>
      </c>
      <c r="X67" s="32">
        <v>0</v>
      </c>
      <c r="Y67" s="32">
        <v>0</v>
      </c>
      <c r="Z67" s="32">
        <v>16</v>
      </c>
      <c r="AA67" s="32">
        <v>0</v>
      </c>
      <c r="AB67" s="32">
        <v>0</v>
      </c>
      <c r="AC67" s="32">
        <v>0</v>
      </c>
      <c r="AD67" s="32">
        <v>-628</v>
      </c>
      <c r="AE67" s="32">
        <v>-651</v>
      </c>
      <c r="AF67" s="32">
        <v>0</v>
      </c>
      <c r="AG67" s="32">
        <v>0</v>
      </c>
      <c r="AH67" s="32">
        <v>0</v>
      </c>
      <c r="AI67" s="32">
        <v>0</v>
      </c>
      <c r="AJ67" s="32">
        <v>0</v>
      </c>
      <c r="AK67" s="32">
        <v>0</v>
      </c>
      <c r="AL67" s="32">
        <v>0</v>
      </c>
      <c r="AM67" s="32">
        <v>0</v>
      </c>
      <c r="AN67" s="32">
        <v>0</v>
      </c>
      <c r="AO67" s="32">
        <v>0</v>
      </c>
      <c r="AP67" s="32">
        <f t="shared" si="11"/>
        <v>0</v>
      </c>
      <c r="AQ67" s="32">
        <f>0</f>
        <v>0</v>
      </c>
      <c r="AR67" s="32">
        <f t="shared" si="12"/>
        <v>0</v>
      </c>
      <c r="AS67" s="32">
        <f>0</f>
        <v>0</v>
      </c>
    </row>
    <row r="68" spans="1:45" x14ac:dyDescent="0.2">
      <c r="A68" s="5" t="s">
        <v>294</v>
      </c>
      <c r="B68" s="32">
        <f t="shared" si="41"/>
        <v>0</v>
      </c>
      <c r="C68" s="32">
        <f t="shared" si="42"/>
        <v>0</v>
      </c>
      <c r="D68" s="32">
        <f t="shared" si="43"/>
        <v>0</v>
      </c>
      <c r="E68" s="32">
        <f t="shared" si="44"/>
        <v>0</v>
      </c>
      <c r="F68" s="32">
        <f t="shared" si="45"/>
        <v>0</v>
      </c>
      <c r="G68" s="32">
        <f t="shared" si="46"/>
        <v>0</v>
      </c>
      <c r="H68" s="32">
        <f t="shared" si="47"/>
        <v>0</v>
      </c>
      <c r="I68" s="32">
        <f t="shared" si="48"/>
        <v>0</v>
      </c>
      <c r="J68" s="32">
        <f t="shared" si="49"/>
        <v>-939</v>
      </c>
      <c r="K68" s="32">
        <f t="shared" si="50"/>
        <v>-645</v>
      </c>
      <c r="L68" s="32">
        <f t="shared" si="51"/>
        <v>-1775</v>
      </c>
      <c r="M68" s="32">
        <f t="shared" si="10"/>
        <v>-2144</v>
      </c>
      <c r="N68" s="32">
        <v>-2966</v>
      </c>
      <c r="O68" s="32">
        <f>-1763</f>
        <v>-1763</v>
      </c>
      <c r="Q68" s="32">
        <v>0</v>
      </c>
      <c r="R68" s="32">
        <v>0</v>
      </c>
      <c r="S68" s="32">
        <v>0</v>
      </c>
      <c r="T68" s="32">
        <v>0</v>
      </c>
      <c r="U68" s="32">
        <v>0</v>
      </c>
      <c r="V68" s="32">
        <v>0</v>
      </c>
      <c r="W68" s="32">
        <v>0</v>
      </c>
      <c r="X68" s="32">
        <v>0</v>
      </c>
      <c r="Y68" s="32">
        <v>0</v>
      </c>
      <c r="Z68" s="32">
        <v>0</v>
      </c>
      <c r="AA68" s="32">
        <v>0</v>
      </c>
      <c r="AB68" s="32">
        <v>0</v>
      </c>
      <c r="AC68" s="32">
        <v>0</v>
      </c>
      <c r="AD68" s="32">
        <v>0</v>
      </c>
      <c r="AE68" s="32">
        <v>0</v>
      </c>
      <c r="AF68" s="32">
        <v>0</v>
      </c>
      <c r="AG68" s="32">
        <v>-363</v>
      </c>
      <c r="AH68" s="32">
        <v>-576</v>
      </c>
      <c r="AI68" s="32">
        <v>-52</v>
      </c>
      <c r="AJ68" s="32">
        <v>-593</v>
      </c>
      <c r="AK68" s="32">
        <v>-707</v>
      </c>
      <c r="AL68" s="32">
        <v>-1068</v>
      </c>
      <c r="AM68" s="32">
        <v>-590</v>
      </c>
      <c r="AN68" s="32">
        <v>-1554</v>
      </c>
      <c r="AO68" s="32">
        <v>-1168</v>
      </c>
      <c r="AP68" s="32">
        <f t="shared" si="11"/>
        <v>-1798</v>
      </c>
      <c r="AQ68" s="32">
        <f>-426</f>
        <v>-426</v>
      </c>
      <c r="AR68" s="32">
        <f t="shared" si="12"/>
        <v>-1337</v>
      </c>
      <c r="AS68" s="32">
        <f>-223</f>
        <v>-223</v>
      </c>
    </row>
    <row r="69" spans="1:45" x14ac:dyDescent="0.2">
      <c r="A69" s="5" t="s">
        <v>295</v>
      </c>
      <c r="B69" s="32">
        <f t="shared" si="41"/>
        <v>0</v>
      </c>
      <c r="C69" s="32">
        <f t="shared" si="42"/>
        <v>0</v>
      </c>
      <c r="D69" s="32">
        <f t="shared" si="43"/>
        <v>0</v>
      </c>
      <c r="E69" s="32">
        <f t="shared" si="44"/>
        <v>-1124</v>
      </c>
      <c r="F69" s="32">
        <f t="shared" si="45"/>
        <v>-2452</v>
      </c>
      <c r="G69" s="32">
        <f t="shared" si="46"/>
        <v>-1504</v>
      </c>
      <c r="H69" s="32">
        <f t="shared" si="47"/>
        <v>-2542</v>
      </c>
      <c r="I69" s="32">
        <f t="shared" si="48"/>
        <v>-3567</v>
      </c>
      <c r="J69" s="32">
        <f t="shared" si="49"/>
        <v>-3599</v>
      </c>
      <c r="K69" s="32">
        <f t="shared" si="50"/>
        <v>-3527</v>
      </c>
      <c r="L69" s="32">
        <f t="shared" si="51"/>
        <v>-3613</v>
      </c>
      <c r="M69" s="32">
        <f t="shared" si="10"/>
        <v>0</v>
      </c>
      <c r="N69" s="32">
        <f t="shared" si="10"/>
        <v>0</v>
      </c>
      <c r="O69" s="32">
        <f t="shared" si="10"/>
        <v>0</v>
      </c>
      <c r="Q69" s="32">
        <v>0</v>
      </c>
      <c r="R69" s="32">
        <v>0</v>
      </c>
      <c r="S69" s="32">
        <v>0</v>
      </c>
      <c r="T69" s="32">
        <v>0</v>
      </c>
      <c r="U69" s="32">
        <v>0</v>
      </c>
      <c r="V69" s="32">
        <v>0</v>
      </c>
      <c r="W69" s="32">
        <v>0</v>
      </c>
      <c r="X69" s="32">
        <v>-1124</v>
      </c>
      <c r="Y69" s="32">
        <v>-1834</v>
      </c>
      <c r="Z69" s="32">
        <v>-618</v>
      </c>
      <c r="AA69" s="32">
        <v>-961</v>
      </c>
      <c r="AB69" s="32">
        <v>-543</v>
      </c>
      <c r="AC69" s="32">
        <v>0</v>
      </c>
      <c r="AD69" s="32">
        <v>-2542</v>
      </c>
      <c r="AE69" s="32">
        <v>0</v>
      </c>
      <c r="AF69" s="32">
        <v>-3567</v>
      </c>
      <c r="AG69" s="32">
        <v>-13</v>
      </c>
      <c r="AH69" s="32">
        <v>-3586</v>
      </c>
      <c r="AI69" s="32">
        <v>0</v>
      </c>
      <c r="AJ69" s="32">
        <v>-3527</v>
      </c>
      <c r="AK69" s="32">
        <v>0</v>
      </c>
      <c r="AL69" s="32">
        <v>-3613</v>
      </c>
      <c r="AM69" s="32">
        <v>0</v>
      </c>
      <c r="AN69" s="32">
        <v>0</v>
      </c>
      <c r="AO69" s="32">
        <v>0</v>
      </c>
      <c r="AP69" s="32">
        <f t="shared" si="11"/>
        <v>0</v>
      </c>
      <c r="AQ69" s="32">
        <f>0</f>
        <v>0</v>
      </c>
      <c r="AR69" s="32">
        <f t="shared" si="12"/>
        <v>0</v>
      </c>
      <c r="AS69" s="32">
        <f>0</f>
        <v>0</v>
      </c>
    </row>
    <row r="70" spans="1:45" x14ac:dyDescent="0.2">
      <c r="A70" s="48" t="s">
        <v>296</v>
      </c>
      <c r="B70" s="76">
        <f t="shared" si="41"/>
        <v>14581</v>
      </c>
      <c r="C70" s="76">
        <f t="shared" si="42"/>
        <v>6572</v>
      </c>
      <c r="D70" s="76">
        <f t="shared" si="43"/>
        <v>-3741</v>
      </c>
      <c r="E70" s="76">
        <f t="shared" si="44"/>
        <v>1074</v>
      </c>
      <c r="F70" s="76">
        <f t="shared" si="45"/>
        <v>743</v>
      </c>
      <c r="G70" s="76">
        <f t="shared" si="46"/>
        <v>-2986</v>
      </c>
      <c r="H70" s="76">
        <f t="shared" si="47"/>
        <v>2681</v>
      </c>
      <c r="I70" s="76">
        <f t="shared" si="48"/>
        <v>-7230</v>
      </c>
      <c r="J70" s="76">
        <f t="shared" si="49"/>
        <v>6762</v>
      </c>
      <c r="K70" s="76">
        <f t="shared" si="50"/>
        <v>-5589</v>
      </c>
      <c r="L70" s="76">
        <f t="shared" si="51"/>
        <v>39929</v>
      </c>
      <c r="M70" s="76">
        <v>29698</v>
      </c>
      <c r="N70" s="76">
        <f>SUM(N61:N69)</f>
        <v>41176</v>
      </c>
      <c r="O70" s="76">
        <f>SUM(O61:O69)</f>
        <v>88769</v>
      </c>
      <c r="P70" s="30"/>
      <c r="Q70" s="76">
        <v>15014</v>
      </c>
      <c r="R70" s="76">
        <v>-433</v>
      </c>
      <c r="S70" s="76">
        <v>306</v>
      </c>
      <c r="T70" s="76">
        <v>6266</v>
      </c>
      <c r="U70" s="76">
        <v>-3839</v>
      </c>
      <c r="V70" s="76">
        <v>98</v>
      </c>
      <c r="W70" s="76">
        <v>1365</v>
      </c>
      <c r="X70" s="76">
        <v>-291</v>
      </c>
      <c r="Y70" s="76">
        <v>484</v>
      </c>
      <c r="Z70" s="76">
        <v>259</v>
      </c>
      <c r="AA70" s="76">
        <v>1248</v>
      </c>
      <c r="AB70" s="76">
        <v>-4234</v>
      </c>
      <c r="AC70" s="76">
        <v>963</v>
      </c>
      <c r="AD70" s="76">
        <v>1718</v>
      </c>
      <c r="AE70" s="76">
        <v>-1758</v>
      </c>
      <c r="AF70" s="76">
        <v>-5472</v>
      </c>
      <c r="AG70" s="76">
        <v>13217</v>
      </c>
      <c r="AH70" s="76">
        <v>-6455</v>
      </c>
      <c r="AI70" s="76">
        <v>-3643</v>
      </c>
      <c r="AJ70" s="76">
        <v>-1946</v>
      </c>
      <c r="AK70" s="77">
        <v>20790</v>
      </c>
      <c r="AL70" s="77">
        <v>19139</v>
      </c>
      <c r="AM70" s="77">
        <f>SUM(AM61:AM69)</f>
        <v>15656</v>
      </c>
      <c r="AN70" s="77">
        <f>SUM(AN61:AN69)</f>
        <v>14042</v>
      </c>
      <c r="AO70" s="77">
        <f>SUM(AO61:AO69)</f>
        <v>20801</v>
      </c>
      <c r="AP70" s="77">
        <f t="shared" si="11"/>
        <v>20375</v>
      </c>
      <c r="AQ70" s="77">
        <f>SUM(AQ61:AQ69)</f>
        <v>39631</v>
      </c>
      <c r="AR70" s="77">
        <f t="shared" ref="AR70" si="52">SUM(AR61:AR69)</f>
        <v>49138</v>
      </c>
      <c r="AS70" s="77">
        <f>SUM(AS61:AS69)</f>
        <v>36856</v>
      </c>
    </row>
    <row r="71" spans="1:45" x14ac:dyDescent="0.2">
      <c r="B71" s="32"/>
      <c r="C71" s="32"/>
      <c r="D71" s="32"/>
      <c r="E71" s="32"/>
      <c r="F71" s="32"/>
      <c r="G71" s="32"/>
      <c r="H71" s="32"/>
      <c r="I71" s="32"/>
      <c r="J71" s="32"/>
      <c r="K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Q71" s="5"/>
      <c r="AR71" s="5"/>
      <c r="AS71" s="5"/>
    </row>
    <row r="72" spans="1:45" x14ac:dyDescent="0.2">
      <c r="A72" s="50" t="s">
        <v>297</v>
      </c>
      <c r="B72" s="75">
        <f t="shared" ref="B72:M72" si="53">B70+B58+B44</f>
        <v>9176</v>
      </c>
      <c r="C72" s="75">
        <f t="shared" si="53"/>
        <v>-3295</v>
      </c>
      <c r="D72" s="75">
        <f t="shared" si="53"/>
        <v>-2966</v>
      </c>
      <c r="E72" s="75">
        <f t="shared" si="53"/>
        <v>4862</v>
      </c>
      <c r="F72" s="75">
        <f t="shared" si="53"/>
        <v>-2842</v>
      </c>
      <c r="G72" s="75">
        <f t="shared" si="53"/>
        <v>-1182</v>
      </c>
      <c r="H72" s="75">
        <f t="shared" si="53"/>
        <v>3997</v>
      </c>
      <c r="I72" s="75">
        <f t="shared" si="53"/>
        <v>8523</v>
      </c>
      <c r="J72" s="75">
        <f t="shared" si="53"/>
        <v>8237</v>
      </c>
      <c r="K72" s="75">
        <f t="shared" si="53"/>
        <v>-5322</v>
      </c>
      <c r="L72" s="75">
        <f t="shared" si="53"/>
        <v>19041</v>
      </c>
      <c r="M72" s="75">
        <f t="shared" si="53"/>
        <v>-20701</v>
      </c>
      <c r="N72" s="75">
        <f>N70+N58+N44</f>
        <v>-14133</v>
      </c>
      <c r="O72" s="75">
        <f>O70+O58+O44</f>
        <v>-5408</v>
      </c>
      <c r="P72" s="37"/>
      <c r="Q72" s="75">
        <v>12714</v>
      </c>
      <c r="R72" s="75">
        <v>-3538</v>
      </c>
      <c r="S72" s="75">
        <v>-1249</v>
      </c>
      <c r="T72" s="75">
        <v>-2046</v>
      </c>
      <c r="U72" s="75">
        <v>-2556</v>
      </c>
      <c r="V72" s="75">
        <v>-410</v>
      </c>
      <c r="W72" s="75">
        <v>1396</v>
      </c>
      <c r="X72" s="75">
        <v>3466</v>
      </c>
      <c r="Y72" s="75">
        <v>-3982</v>
      </c>
      <c r="Z72" s="75">
        <v>1140</v>
      </c>
      <c r="AA72" s="75">
        <v>4348</v>
      </c>
      <c r="AB72" s="75">
        <v>-5530</v>
      </c>
      <c r="AC72" s="75">
        <v>-796</v>
      </c>
      <c r="AD72" s="75">
        <v>4793</v>
      </c>
      <c r="AE72" s="75">
        <v>4500</v>
      </c>
      <c r="AF72" s="75">
        <v>4023</v>
      </c>
      <c r="AG72" s="75">
        <v>12797</v>
      </c>
      <c r="AH72" s="75">
        <v>-4560</v>
      </c>
      <c r="AI72" s="75">
        <v>-6478</v>
      </c>
      <c r="AJ72" s="75">
        <v>1156</v>
      </c>
      <c r="AK72" s="32">
        <v>14450</v>
      </c>
      <c r="AL72" s="32">
        <v>4591</v>
      </c>
      <c r="AM72" s="32">
        <f>AM70+AM58+AM44</f>
        <v>-5221</v>
      </c>
      <c r="AN72" s="32">
        <v>-15480</v>
      </c>
      <c r="AO72" s="32">
        <f>AO70+AO58+AO44</f>
        <v>1548</v>
      </c>
      <c r="AP72" s="32">
        <f>AP70+AP58+AP44</f>
        <v>-15681</v>
      </c>
      <c r="AQ72" s="32">
        <f>AQ70+AQ58+AQ44</f>
        <v>-2721</v>
      </c>
      <c r="AR72" s="32">
        <f t="shared" ref="AR72:AS72" si="54">AR70+AR58+AR44</f>
        <v>-2687</v>
      </c>
      <c r="AS72" s="32">
        <f t="shared" si="54"/>
        <v>1331</v>
      </c>
    </row>
    <row r="73" spans="1:45" x14ac:dyDescent="0.2">
      <c r="A73" s="5" t="s">
        <v>298</v>
      </c>
      <c r="B73" s="32">
        <v>3636</v>
      </c>
      <c r="C73" s="32">
        <f t="shared" ref="C73:M73" si="55">B75</f>
        <v>14484</v>
      </c>
      <c r="D73" s="32">
        <f t="shared" si="55"/>
        <v>10716</v>
      </c>
      <c r="E73" s="32">
        <f t="shared" si="55"/>
        <v>8139</v>
      </c>
      <c r="F73" s="32">
        <f t="shared" si="55"/>
        <v>14631</v>
      </c>
      <c r="G73" s="32">
        <f t="shared" si="55"/>
        <v>11532</v>
      </c>
      <c r="H73" s="32">
        <f t="shared" si="55"/>
        <v>10206</v>
      </c>
      <c r="I73" s="32">
        <f t="shared" si="55"/>
        <v>14125</v>
      </c>
      <c r="J73" s="32">
        <f t="shared" si="55"/>
        <v>23066</v>
      </c>
      <c r="K73" s="32">
        <f t="shared" si="55"/>
        <v>31128</v>
      </c>
      <c r="L73" s="32">
        <f t="shared" si="55"/>
        <v>25830</v>
      </c>
      <c r="M73" s="32">
        <f t="shared" si="55"/>
        <v>44587</v>
      </c>
      <c r="N73" s="32">
        <f>M75</f>
        <v>23811</v>
      </c>
      <c r="O73" s="32">
        <f>N75</f>
        <v>9724</v>
      </c>
      <c r="Q73" s="32">
        <v>3636</v>
      </c>
      <c r="R73" s="32">
        <f>Q75</f>
        <v>16146</v>
      </c>
      <c r="S73" s="32">
        <v>14484</v>
      </c>
      <c r="T73" s="32">
        <f>S75</f>
        <v>13276</v>
      </c>
      <c r="U73" s="32">
        <v>10716</v>
      </c>
      <c r="V73" s="32">
        <f>U75</f>
        <v>8559</v>
      </c>
      <c r="W73" s="32">
        <v>8139</v>
      </c>
      <c r="X73" s="32">
        <f>W75</f>
        <v>9635</v>
      </c>
      <c r="Y73" s="32">
        <v>14631</v>
      </c>
      <c r="Z73" s="32">
        <f>Y75</f>
        <v>10042</v>
      </c>
      <c r="AA73" s="32">
        <v>11532</v>
      </c>
      <c r="AB73" s="32">
        <f>AA75</f>
        <v>15770</v>
      </c>
      <c r="AC73" s="32">
        <v>10206</v>
      </c>
      <c r="AD73" s="32">
        <f>AC75</f>
        <v>9392</v>
      </c>
      <c r="AE73" s="32">
        <v>14125</v>
      </c>
      <c r="AF73" s="32">
        <f>AE75</f>
        <v>18865</v>
      </c>
      <c r="AG73" s="32">
        <v>23066</v>
      </c>
      <c r="AH73" s="32">
        <f>AG75</f>
        <v>35797</v>
      </c>
      <c r="AI73" s="32">
        <v>31128</v>
      </c>
      <c r="AJ73" s="32">
        <f>AI75</f>
        <v>24678</v>
      </c>
      <c r="AK73" s="32">
        <v>25830</v>
      </c>
      <c r="AL73" s="32">
        <f>AK75</f>
        <v>39980</v>
      </c>
      <c r="AM73" s="32">
        <v>44587</v>
      </c>
      <c r="AN73" s="32">
        <f>AM75</f>
        <v>39194</v>
      </c>
      <c r="AO73" s="32">
        <v>23811</v>
      </c>
      <c r="AP73" s="32">
        <f>AO75</f>
        <v>25687</v>
      </c>
      <c r="AQ73" s="32">
        <f>9724</f>
        <v>9724</v>
      </c>
      <c r="AR73" s="32">
        <f t="shared" ref="AR73:AR75" si="56">O73-AQ73</f>
        <v>0</v>
      </c>
      <c r="AS73" s="32">
        <f>4320</f>
        <v>4320</v>
      </c>
    </row>
    <row r="74" spans="1:45" x14ac:dyDescent="0.2">
      <c r="A74" s="5" t="s">
        <v>299</v>
      </c>
      <c r="B74" s="32">
        <f t="shared" si="41"/>
        <v>1672</v>
      </c>
      <c r="C74" s="32">
        <f t="shared" si="42"/>
        <v>-473</v>
      </c>
      <c r="D74" s="32">
        <f t="shared" si="43"/>
        <v>389</v>
      </c>
      <c r="E74" s="32">
        <f t="shared" si="44"/>
        <v>1630</v>
      </c>
      <c r="F74" s="32">
        <f t="shared" si="45"/>
        <v>-257</v>
      </c>
      <c r="G74" s="32">
        <f t="shared" si="46"/>
        <v>-144</v>
      </c>
      <c r="H74" s="32">
        <f t="shared" si="47"/>
        <v>-78</v>
      </c>
      <c r="I74" s="32">
        <f t="shared" si="48"/>
        <v>418</v>
      </c>
      <c r="J74" s="32">
        <f t="shared" si="49"/>
        <v>-175</v>
      </c>
      <c r="K74" s="32">
        <f t="shared" si="50"/>
        <v>24</v>
      </c>
      <c r="L74" s="32">
        <f t="shared" ref="L74" si="57">SUM(AK74:AL74)</f>
        <v>-284</v>
      </c>
      <c r="M74" s="32">
        <f t="shared" si="10"/>
        <v>-75</v>
      </c>
      <c r="N74" s="32">
        <v>46</v>
      </c>
      <c r="O74" s="32">
        <f>4</f>
        <v>4</v>
      </c>
      <c r="Q74" s="32">
        <v>-204</v>
      </c>
      <c r="R74" s="32">
        <v>1876</v>
      </c>
      <c r="S74" s="32">
        <v>41</v>
      </c>
      <c r="T74" s="32">
        <v>-514</v>
      </c>
      <c r="U74" s="32">
        <v>399</v>
      </c>
      <c r="V74" s="32">
        <v>-10</v>
      </c>
      <c r="W74" s="32">
        <v>100</v>
      </c>
      <c r="X74" s="32">
        <v>1530</v>
      </c>
      <c r="Y74" s="32">
        <v>-607</v>
      </c>
      <c r="Z74" s="32">
        <v>350</v>
      </c>
      <c r="AA74" s="32">
        <v>-110</v>
      </c>
      <c r="AB74" s="32">
        <v>-34</v>
      </c>
      <c r="AC74" s="32">
        <v>-18</v>
      </c>
      <c r="AD74" s="32">
        <v>-60</v>
      </c>
      <c r="AE74" s="32">
        <v>240</v>
      </c>
      <c r="AF74" s="32">
        <v>178</v>
      </c>
      <c r="AG74" s="32">
        <v>-66</v>
      </c>
      <c r="AH74" s="32">
        <v>-109</v>
      </c>
      <c r="AI74" s="32">
        <v>28</v>
      </c>
      <c r="AJ74" s="32">
        <v>-4</v>
      </c>
      <c r="AK74" s="32">
        <v>-300</v>
      </c>
      <c r="AL74" s="32">
        <v>16</v>
      </c>
      <c r="AM74" s="32">
        <v>-172</v>
      </c>
      <c r="AN74" s="32">
        <v>97</v>
      </c>
      <c r="AO74" s="32">
        <v>328</v>
      </c>
      <c r="AP74" s="32">
        <f>N74-AO74</f>
        <v>-282</v>
      </c>
      <c r="AQ74" s="32">
        <f>-4</f>
        <v>-4</v>
      </c>
      <c r="AR74" s="32">
        <f t="shared" si="56"/>
        <v>8</v>
      </c>
      <c r="AS74" s="32">
        <f>-7</f>
        <v>-7</v>
      </c>
    </row>
    <row r="75" spans="1:45" x14ac:dyDescent="0.2">
      <c r="A75" s="48" t="s">
        <v>300</v>
      </c>
      <c r="B75" s="76">
        <v>14484</v>
      </c>
      <c r="C75" s="76">
        <v>10716</v>
      </c>
      <c r="D75" s="76">
        <v>8139</v>
      </c>
      <c r="E75" s="76">
        <v>14631</v>
      </c>
      <c r="F75" s="76">
        <v>11532</v>
      </c>
      <c r="G75" s="76">
        <v>10206</v>
      </c>
      <c r="H75" s="76">
        <v>14125</v>
      </c>
      <c r="I75" s="76">
        <v>23066</v>
      </c>
      <c r="J75" s="76">
        <v>31128</v>
      </c>
      <c r="K75" s="76">
        <v>25830</v>
      </c>
      <c r="L75" s="76">
        <v>44587</v>
      </c>
      <c r="M75" s="76">
        <v>23811</v>
      </c>
      <c r="N75" s="76">
        <v>9724</v>
      </c>
      <c r="O75" s="76">
        <f>4320</f>
        <v>4320</v>
      </c>
      <c r="P75" s="30"/>
      <c r="Q75" s="76">
        <v>16146</v>
      </c>
      <c r="R75" s="76">
        <f>S73</f>
        <v>14484</v>
      </c>
      <c r="S75" s="76">
        <v>13276</v>
      </c>
      <c r="T75" s="76">
        <f>U73</f>
        <v>10716</v>
      </c>
      <c r="U75" s="76">
        <v>8559</v>
      </c>
      <c r="V75" s="76">
        <f>W73</f>
        <v>8139</v>
      </c>
      <c r="W75" s="76">
        <v>9635</v>
      </c>
      <c r="X75" s="76">
        <f>Y73</f>
        <v>14631</v>
      </c>
      <c r="Y75" s="76">
        <v>10042</v>
      </c>
      <c r="Z75" s="76">
        <f>AA73</f>
        <v>11532</v>
      </c>
      <c r="AA75" s="76">
        <v>15770</v>
      </c>
      <c r="AB75" s="76">
        <f>AC73</f>
        <v>10206</v>
      </c>
      <c r="AC75" s="76">
        <v>9392</v>
      </c>
      <c r="AD75" s="76">
        <f>AE73</f>
        <v>14125</v>
      </c>
      <c r="AE75" s="76">
        <v>18865</v>
      </c>
      <c r="AF75" s="76">
        <f>AG73</f>
        <v>23066</v>
      </c>
      <c r="AG75" s="76">
        <v>35797</v>
      </c>
      <c r="AH75" s="76">
        <f>AI73</f>
        <v>31128</v>
      </c>
      <c r="AI75" s="76">
        <v>24678</v>
      </c>
      <c r="AJ75" s="76">
        <f>AK73</f>
        <v>25830</v>
      </c>
      <c r="AK75" s="77">
        <v>39980</v>
      </c>
      <c r="AL75" s="77">
        <f>AM73</f>
        <v>44587</v>
      </c>
      <c r="AM75" s="77">
        <v>39194</v>
      </c>
      <c r="AN75" s="77">
        <f>M75</f>
        <v>23811</v>
      </c>
      <c r="AO75" s="77">
        <v>25687</v>
      </c>
      <c r="AP75" s="77">
        <f>N75</f>
        <v>9724</v>
      </c>
      <c r="AQ75" s="77">
        <f>SUM(AQ72:AQ74)</f>
        <v>6999</v>
      </c>
      <c r="AR75" s="77">
        <f t="shared" si="56"/>
        <v>-2679</v>
      </c>
      <c r="AS75" s="77">
        <f>SUM(AS72:AS74)</f>
        <v>5644</v>
      </c>
    </row>
  </sheetData>
  <phoneticPr fontId="32" type="noConversion"/>
  <hyperlinks>
    <hyperlink ref="A3" location="Содержание!A1" display="К содержанию" xr:uid="{A942458B-793B-4C45-9BA9-CF293C7257FD}"/>
  </hyperlink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8AFB6-70F0-4FA7-9DCA-F997FE19856B}">
  <dimension ref="A1:AL98"/>
  <sheetViews>
    <sheetView zoomScale="130" zoomScaleNormal="130" workbookViewId="0">
      <selection sqref="A1:A2"/>
    </sheetView>
  </sheetViews>
  <sheetFormatPr defaultRowHeight="15" outlineLevelRow="1" x14ac:dyDescent="0.25"/>
  <cols>
    <col min="1" max="1" width="2.7109375" style="111" customWidth="1"/>
    <col min="2" max="2" width="43.7109375" bestFit="1" customWidth="1"/>
    <col min="3" max="3" width="18.5703125" bestFit="1" customWidth="1"/>
    <col min="4" max="4" width="14.42578125" customWidth="1"/>
    <col min="5" max="5" width="13.7109375" customWidth="1"/>
    <col min="6" max="6" width="11.7109375" customWidth="1"/>
    <col min="7" max="7" width="14.7109375" customWidth="1"/>
    <col min="8" max="8" width="12.5703125" customWidth="1"/>
    <col min="9" max="10" width="12" customWidth="1"/>
    <col min="11" max="11" width="12.5703125" customWidth="1"/>
    <col min="12" max="14" width="10.85546875" customWidth="1"/>
    <col min="15" max="15" width="11.5703125" customWidth="1"/>
    <col min="16" max="16" width="12.5703125" customWidth="1"/>
    <col min="17" max="18" width="10.85546875" customWidth="1"/>
    <col min="19" max="19" width="12.5703125" customWidth="1"/>
    <col min="20" max="20" width="12.42578125" customWidth="1"/>
    <col min="21" max="21" width="14.5703125" customWidth="1"/>
    <col min="22" max="22" width="11.42578125" customWidth="1"/>
    <col min="23" max="23" width="13.85546875" customWidth="1"/>
    <col min="24" max="26" width="11.7109375" customWidth="1"/>
    <col min="27" max="27" width="13.28515625" customWidth="1"/>
    <col min="28" max="28" width="11.28515625" customWidth="1"/>
    <col min="29" max="29" width="12" customWidth="1"/>
    <col min="30" max="30" width="11.28515625" customWidth="1"/>
    <col min="31" max="31" width="13.28515625" customWidth="1"/>
    <col min="32" max="32" width="20.7109375" style="185" customWidth="1"/>
    <col min="33" max="34" width="10.5703125" style="185" customWidth="1"/>
    <col min="35" max="35" width="16.7109375" style="185" customWidth="1"/>
    <col min="36" max="36" width="17.28515625" style="185" bestFit="1" customWidth="1"/>
    <col min="37" max="37" width="22.140625" style="185" bestFit="1" customWidth="1"/>
    <col min="38" max="38" width="21" style="185" bestFit="1" customWidth="1"/>
  </cols>
  <sheetData>
    <row r="1" spans="1:38" s="111" customFormat="1" ht="30" customHeight="1" x14ac:dyDescent="0.25">
      <c r="A1" s="200" t="s">
        <v>13</v>
      </c>
      <c r="B1" s="200" t="s">
        <v>432</v>
      </c>
      <c r="C1" s="200" t="s">
        <v>301</v>
      </c>
      <c r="D1" s="198" t="s">
        <v>302</v>
      </c>
      <c r="E1" s="200" t="s">
        <v>303</v>
      </c>
      <c r="F1" s="200" t="s">
        <v>304</v>
      </c>
      <c r="G1" s="200" t="s">
        <v>305</v>
      </c>
      <c r="H1" s="202" t="s">
        <v>383</v>
      </c>
      <c r="I1" s="203"/>
      <c r="J1" s="203"/>
      <c r="K1" s="203"/>
      <c r="L1" s="204"/>
      <c r="M1" s="202" t="s">
        <v>384</v>
      </c>
      <c r="N1" s="203"/>
      <c r="O1" s="203"/>
      <c r="P1" s="203"/>
      <c r="Q1" s="203"/>
      <c r="R1" s="204"/>
      <c r="S1" s="198" t="s">
        <v>313</v>
      </c>
      <c r="T1" s="198" t="s">
        <v>433</v>
      </c>
      <c r="U1" s="198" t="s">
        <v>314</v>
      </c>
      <c r="V1" s="198" t="s">
        <v>315</v>
      </c>
      <c r="W1" s="198" t="s">
        <v>434</v>
      </c>
      <c r="X1" s="198" t="s">
        <v>435</v>
      </c>
      <c r="Y1" s="198" t="s">
        <v>436</v>
      </c>
      <c r="Z1" s="198" t="s">
        <v>437</v>
      </c>
      <c r="AA1" s="198" t="s">
        <v>316</v>
      </c>
      <c r="AB1" s="205" t="s">
        <v>317</v>
      </c>
      <c r="AC1" s="206"/>
      <c r="AD1" s="207"/>
      <c r="AE1" s="198" t="s">
        <v>319</v>
      </c>
      <c r="AF1" s="198" t="s">
        <v>73</v>
      </c>
      <c r="AG1" s="208" t="s">
        <v>320</v>
      </c>
      <c r="AH1" s="209"/>
      <c r="AI1" s="209"/>
      <c r="AJ1" s="209"/>
      <c r="AK1" s="209"/>
      <c r="AL1" s="210"/>
    </row>
    <row r="2" spans="1:38" s="111" customFormat="1" ht="52.5" customHeight="1" x14ac:dyDescent="0.25">
      <c r="A2" s="201"/>
      <c r="B2" s="201"/>
      <c r="C2" s="201"/>
      <c r="D2" s="199"/>
      <c r="E2" s="201"/>
      <c r="F2" s="201"/>
      <c r="G2" s="201"/>
      <c r="H2" s="112" t="s">
        <v>306</v>
      </c>
      <c r="I2" s="112" t="s">
        <v>307</v>
      </c>
      <c r="J2" s="112" t="s">
        <v>308</v>
      </c>
      <c r="K2" s="112" t="s">
        <v>309</v>
      </c>
      <c r="L2" s="112" t="s">
        <v>310</v>
      </c>
      <c r="M2" s="112" t="s">
        <v>306</v>
      </c>
      <c r="N2" s="112" t="s">
        <v>307</v>
      </c>
      <c r="O2" s="112" t="s">
        <v>308</v>
      </c>
      <c r="P2" s="112" t="s">
        <v>309</v>
      </c>
      <c r="Q2" s="112" t="s">
        <v>311</v>
      </c>
      <c r="R2" s="112" t="s">
        <v>312</v>
      </c>
      <c r="S2" s="199"/>
      <c r="T2" s="199"/>
      <c r="U2" s="199"/>
      <c r="V2" s="199"/>
      <c r="W2" s="199"/>
      <c r="X2" s="199"/>
      <c r="Y2" s="199"/>
      <c r="Z2" s="199"/>
      <c r="AA2" s="199"/>
      <c r="AB2" s="113" t="s">
        <v>307</v>
      </c>
      <c r="AC2" s="113" t="s">
        <v>308</v>
      </c>
      <c r="AD2" s="113" t="s">
        <v>318</v>
      </c>
      <c r="AE2" s="199"/>
      <c r="AF2" s="199"/>
      <c r="AG2" s="114" t="s">
        <v>321</v>
      </c>
      <c r="AH2" s="114" t="s">
        <v>438</v>
      </c>
      <c r="AI2" s="112" t="s">
        <v>323</v>
      </c>
      <c r="AJ2" s="112" t="s">
        <v>322</v>
      </c>
      <c r="AK2" s="112" t="s">
        <v>324</v>
      </c>
      <c r="AL2" s="112" t="s">
        <v>325</v>
      </c>
    </row>
    <row r="3" spans="1:38" s="111" customFormat="1" ht="10.5" x14ac:dyDescent="0.25">
      <c r="A3" s="168"/>
      <c r="B3" s="115" t="s">
        <v>439</v>
      </c>
      <c r="C3" s="168"/>
      <c r="D3" s="167"/>
      <c r="E3" s="168"/>
      <c r="F3" s="168"/>
      <c r="G3" s="168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67"/>
      <c r="T3" s="167"/>
      <c r="U3" s="167"/>
      <c r="V3" s="167"/>
      <c r="W3" s="167"/>
      <c r="X3" s="167"/>
      <c r="Y3" s="167"/>
      <c r="Z3" s="167"/>
      <c r="AA3" s="167"/>
      <c r="AB3" s="116"/>
      <c r="AC3" s="116"/>
      <c r="AD3" s="116"/>
      <c r="AE3" s="167"/>
      <c r="AF3" s="167"/>
      <c r="AG3" s="167"/>
      <c r="AH3" s="167"/>
      <c r="AI3" s="117"/>
      <c r="AJ3" s="117"/>
      <c r="AK3" s="117"/>
      <c r="AL3" s="117"/>
    </row>
    <row r="4" spans="1:38" s="127" customFormat="1" ht="10.5" x14ac:dyDescent="0.25">
      <c r="A4" s="118">
        <v>1</v>
      </c>
      <c r="B4" s="119" t="s">
        <v>326</v>
      </c>
      <c r="C4" s="118" t="s">
        <v>135</v>
      </c>
      <c r="D4" s="120">
        <v>99877</v>
      </c>
      <c r="E4" s="121" t="s">
        <v>329</v>
      </c>
      <c r="F4" s="122">
        <v>108.8</v>
      </c>
      <c r="G4" s="120">
        <v>1198971.7070000002</v>
      </c>
      <c r="H4" s="120">
        <v>1094988.8470000001</v>
      </c>
      <c r="I4" s="120">
        <v>845719.15500000003</v>
      </c>
      <c r="J4" s="120">
        <v>132737.99200000003</v>
      </c>
      <c r="K4" s="120">
        <v>0</v>
      </c>
      <c r="L4" s="120">
        <v>8370</v>
      </c>
      <c r="M4" s="120">
        <v>868130.04700000002</v>
      </c>
      <c r="N4" s="120">
        <v>609950.35499999998</v>
      </c>
      <c r="O4" s="120">
        <v>118235.39200000002</v>
      </c>
      <c r="P4" s="120">
        <v>0</v>
      </c>
      <c r="Q4" s="120">
        <v>7361</v>
      </c>
      <c r="R4" s="120">
        <v>139944.30000000002</v>
      </c>
      <c r="S4" s="120">
        <v>265452.91686743923</v>
      </c>
      <c r="T4" s="120">
        <v>53457.564573311334</v>
      </c>
      <c r="U4" s="120">
        <v>211995.35229412789</v>
      </c>
      <c r="V4" s="120">
        <v>495553.82432331494</v>
      </c>
      <c r="W4" s="120">
        <v>24549.819043990003</v>
      </c>
      <c r="X4" s="120">
        <v>415686.41168521496</v>
      </c>
      <c r="Y4" s="120">
        <v>55317.593594110003</v>
      </c>
      <c r="Z4" s="120">
        <v>55668.381058669998</v>
      </c>
      <c r="AA4" s="123">
        <v>0.21199999999999999</v>
      </c>
      <c r="AB4" s="124">
        <v>460000</v>
      </c>
      <c r="AC4" s="124">
        <v>460000</v>
      </c>
      <c r="AD4" s="124">
        <v>2900000</v>
      </c>
      <c r="AE4" s="186" t="s">
        <v>385</v>
      </c>
      <c r="AF4" s="125" t="s">
        <v>413</v>
      </c>
      <c r="AG4" s="126">
        <v>95410.070244935283</v>
      </c>
      <c r="AH4" s="126">
        <v>48791.743293857508</v>
      </c>
      <c r="AI4" s="126">
        <v>46618.326951077775</v>
      </c>
      <c r="AJ4" s="126">
        <v>42522.900826678728</v>
      </c>
      <c r="AK4" s="126">
        <v>23519.205946186263</v>
      </c>
      <c r="AL4" s="126">
        <v>21147.560663622899</v>
      </c>
    </row>
    <row r="5" spans="1:38" s="127" customFormat="1" ht="21" x14ac:dyDescent="0.25">
      <c r="A5" s="118">
        <v>2</v>
      </c>
      <c r="B5" s="119" t="s">
        <v>14</v>
      </c>
      <c r="C5" s="118" t="s">
        <v>135</v>
      </c>
      <c r="D5" s="120">
        <v>20274</v>
      </c>
      <c r="E5" s="121" t="s">
        <v>329</v>
      </c>
      <c r="F5" s="122">
        <v>31.6</v>
      </c>
      <c r="G5" s="120">
        <v>254729.62</v>
      </c>
      <c r="H5" s="120">
        <v>254729.62</v>
      </c>
      <c r="I5" s="120">
        <v>184952.6</v>
      </c>
      <c r="J5" s="120">
        <v>51106.92</v>
      </c>
      <c r="K5" s="120">
        <v>0</v>
      </c>
      <c r="L5" s="120">
        <v>1420</v>
      </c>
      <c r="M5" s="120">
        <v>133624.91999999998</v>
      </c>
      <c r="N5" s="120">
        <v>72537.099999999991</v>
      </c>
      <c r="O5" s="120">
        <v>43122.720000000001</v>
      </c>
      <c r="P5" s="120">
        <v>0</v>
      </c>
      <c r="Q5" s="120">
        <v>762</v>
      </c>
      <c r="R5" s="120">
        <v>17965.099999999999</v>
      </c>
      <c r="S5" s="120">
        <v>48564.809231308172</v>
      </c>
      <c r="T5" s="120">
        <v>21256.147331929737</v>
      </c>
      <c r="U5" s="120">
        <v>27308.661899378436</v>
      </c>
      <c r="V5" s="120">
        <v>64877.091715632727</v>
      </c>
      <c r="W5" s="120">
        <v>11953.749965869998</v>
      </c>
      <c r="X5" s="120">
        <v>47247.352795442734</v>
      </c>
      <c r="Y5" s="120">
        <v>5675.9889543199997</v>
      </c>
      <c r="Z5" s="120">
        <v>7765.2114612300002</v>
      </c>
      <c r="AA5" s="123">
        <v>0.21199999999999999</v>
      </c>
      <c r="AB5" s="124">
        <v>453000</v>
      </c>
      <c r="AC5" s="124">
        <v>234000</v>
      </c>
      <c r="AD5" s="124">
        <v>2900000</v>
      </c>
      <c r="AE5" s="186" t="s">
        <v>385</v>
      </c>
      <c r="AF5" s="125" t="s">
        <v>414</v>
      </c>
      <c r="AG5" s="126">
        <v>14058.164935366127</v>
      </c>
      <c r="AH5" s="126">
        <v>8584.9848921637076</v>
      </c>
      <c r="AI5" s="126">
        <v>5473.1800432024193</v>
      </c>
      <c r="AJ5" s="126">
        <v>5148.2739673405395</v>
      </c>
      <c r="AK5" s="126">
        <v>3811.6732353555226</v>
      </c>
      <c r="AL5" s="126">
        <v>3559.5073598647286</v>
      </c>
    </row>
    <row r="6" spans="1:38" s="127" customFormat="1" ht="10.5" x14ac:dyDescent="0.25">
      <c r="A6" s="118">
        <v>3</v>
      </c>
      <c r="B6" s="119" t="s">
        <v>11</v>
      </c>
      <c r="C6" s="118" t="s">
        <v>135</v>
      </c>
      <c r="D6" s="120">
        <v>10409</v>
      </c>
      <c r="E6" s="121" t="s">
        <v>329</v>
      </c>
      <c r="F6" s="122">
        <v>2.7</v>
      </c>
      <c r="G6" s="120">
        <v>65405.299999999996</v>
      </c>
      <c r="H6" s="120">
        <v>65405.299999999996</v>
      </c>
      <c r="I6" s="120">
        <v>53904.6</v>
      </c>
      <c r="J6" s="120">
        <v>3307.5</v>
      </c>
      <c r="K6" s="120">
        <v>0</v>
      </c>
      <c r="L6" s="120">
        <v>567</v>
      </c>
      <c r="M6" s="120">
        <v>31592.799999999999</v>
      </c>
      <c r="N6" s="120">
        <v>18350.7</v>
      </c>
      <c r="O6" s="120">
        <v>1092.0999999999999</v>
      </c>
      <c r="P6" s="120">
        <v>0</v>
      </c>
      <c r="Q6" s="120">
        <v>405</v>
      </c>
      <c r="R6" s="120">
        <v>12150</v>
      </c>
      <c r="S6" s="120">
        <v>15357.053636014187</v>
      </c>
      <c r="T6" s="120">
        <v>7344.0682464945658</v>
      </c>
      <c r="U6" s="120">
        <v>8012.9853895196211</v>
      </c>
      <c r="V6" s="120">
        <v>35113.975524358997</v>
      </c>
      <c r="W6" s="120">
        <v>13301.192977620001</v>
      </c>
      <c r="X6" s="120">
        <v>13256.282546738996</v>
      </c>
      <c r="Y6" s="120">
        <v>8556.5</v>
      </c>
      <c r="Z6" s="120">
        <v>13229.9</v>
      </c>
      <c r="AA6" s="123">
        <v>0.21199999999999999</v>
      </c>
      <c r="AB6" s="124">
        <v>567000</v>
      </c>
      <c r="AC6" s="124">
        <v>557000</v>
      </c>
      <c r="AD6" s="124">
        <v>3500000</v>
      </c>
      <c r="AE6" s="186" t="s">
        <v>385</v>
      </c>
      <c r="AF6" s="118">
        <v>2025</v>
      </c>
      <c r="AG6" s="126">
        <v>5045.8295756458092</v>
      </c>
      <c r="AH6" s="126">
        <v>4748.2392855190283</v>
      </c>
      <c r="AI6" s="126">
        <v>297.59029012678093</v>
      </c>
      <c r="AJ6" s="126">
        <v>0</v>
      </c>
      <c r="AK6" s="126">
        <v>267.09680934974864</v>
      </c>
      <c r="AL6" s="126">
        <v>0</v>
      </c>
    </row>
    <row r="7" spans="1:38" s="127" customFormat="1" ht="21" x14ac:dyDescent="0.25">
      <c r="A7" s="118">
        <v>4</v>
      </c>
      <c r="B7" s="119" t="s">
        <v>428</v>
      </c>
      <c r="C7" s="118" t="s">
        <v>135</v>
      </c>
      <c r="D7" s="120">
        <v>3040</v>
      </c>
      <c r="E7" s="121" t="s">
        <v>331</v>
      </c>
      <c r="F7" s="122">
        <v>0.39379999999999998</v>
      </c>
      <c r="G7" s="120">
        <v>11396.800000000001</v>
      </c>
      <c r="H7" s="120">
        <v>11396.800000000001</v>
      </c>
      <c r="I7" s="120">
        <v>9987.5</v>
      </c>
      <c r="J7" s="120">
        <v>558.1</v>
      </c>
      <c r="K7" s="120">
        <v>0</v>
      </c>
      <c r="L7" s="120">
        <v>64</v>
      </c>
      <c r="M7" s="120">
        <v>11289.099999999999</v>
      </c>
      <c r="N7" s="120">
        <v>9879.7999999999975</v>
      </c>
      <c r="O7" s="120">
        <v>558.1</v>
      </c>
      <c r="P7" s="120">
        <v>0</v>
      </c>
      <c r="Q7" s="120">
        <v>64</v>
      </c>
      <c r="R7" s="120">
        <v>851.2</v>
      </c>
      <c r="S7" s="120">
        <v>2863.1148319787562</v>
      </c>
      <c r="T7" s="120">
        <v>281.38898375274312</v>
      </c>
      <c r="U7" s="120">
        <v>2581.7258482260131</v>
      </c>
      <c r="V7" s="120">
        <v>8088.3258448403149</v>
      </c>
      <c r="W7" s="120">
        <v>429.04886999999997</v>
      </c>
      <c r="X7" s="120">
        <v>7659.2769748403152</v>
      </c>
      <c r="Y7" s="120">
        <v>0</v>
      </c>
      <c r="Z7" s="120">
        <v>0</v>
      </c>
      <c r="AA7" s="123">
        <v>0.21199999999999999</v>
      </c>
      <c r="AB7" s="124">
        <v>590000</v>
      </c>
      <c r="AC7" s="124">
        <v>550000</v>
      </c>
      <c r="AD7" s="124">
        <v>3800000</v>
      </c>
      <c r="AE7" s="186" t="s">
        <v>385</v>
      </c>
      <c r="AF7" s="118">
        <v>2027</v>
      </c>
      <c r="AG7" s="126">
        <v>1405.5393754404943</v>
      </c>
      <c r="AH7" s="126">
        <v>279.20916778186984</v>
      </c>
      <c r="AI7" s="126">
        <v>1126.3302076586244</v>
      </c>
      <c r="AJ7" s="126">
        <v>878.99623130822442</v>
      </c>
      <c r="AK7" s="126">
        <v>733.74891204731864</v>
      </c>
      <c r="AL7" s="126">
        <v>603.52192669847375</v>
      </c>
    </row>
    <row r="8" spans="1:38" s="127" customFormat="1" ht="10.5" x14ac:dyDescent="0.25">
      <c r="A8" s="118">
        <v>5</v>
      </c>
      <c r="B8" s="119" t="s">
        <v>429</v>
      </c>
      <c r="C8" s="118" t="s">
        <v>135</v>
      </c>
      <c r="D8" s="120">
        <v>1854</v>
      </c>
      <c r="E8" s="121" t="s">
        <v>329</v>
      </c>
      <c r="F8" s="122">
        <v>1.1000000000000001</v>
      </c>
      <c r="G8" s="120">
        <v>14082.900000000001</v>
      </c>
      <c r="H8" s="120">
        <v>14082.900000000001</v>
      </c>
      <c r="I8" s="120">
        <v>11452.7</v>
      </c>
      <c r="J8" s="120">
        <v>1729.2</v>
      </c>
      <c r="K8" s="120">
        <v>0</v>
      </c>
      <c r="L8" s="120">
        <v>68</v>
      </c>
      <c r="M8" s="120">
        <v>14082.900000000001</v>
      </c>
      <c r="N8" s="120">
        <v>11452.7</v>
      </c>
      <c r="O8" s="120">
        <v>1729.2</v>
      </c>
      <c r="P8" s="120">
        <v>0</v>
      </c>
      <c r="Q8" s="120">
        <v>68</v>
      </c>
      <c r="R8" s="120">
        <v>901</v>
      </c>
      <c r="S8" s="120">
        <v>3900.2682906316541</v>
      </c>
      <c r="T8" s="120">
        <v>334.63741781571434</v>
      </c>
      <c r="U8" s="120">
        <v>3565.6308728159397</v>
      </c>
      <c r="V8" s="120">
        <v>7488.4842713714461</v>
      </c>
      <c r="W8" s="120">
        <v>0</v>
      </c>
      <c r="X8" s="120">
        <v>7488.4842713714461</v>
      </c>
      <c r="Y8" s="120">
        <v>0</v>
      </c>
      <c r="Z8" s="120">
        <v>0</v>
      </c>
      <c r="AA8" s="123">
        <v>0.21199999999999999</v>
      </c>
      <c r="AB8" s="124">
        <v>460000</v>
      </c>
      <c r="AC8" s="124">
        <v>490000</v>
      </c>
      <c r="AD8" s="124">
        <v>3400000</v>
      </c>
      <c r="AE8" s="186" t="s">
        <v>385</v>
      </c>
      <c r="AF8" s="118">
        <v>2028</v>
      </c>
      <c r="AG8" s="126">
        <v>1000.6332764304609</v>
      </c>
      <c r="AH8" s="126">
        <v>219.48327631515696</v>
      </c>
      <c r="AI8" s="126">
        <v>781.15000011530401</v>
      </c>
      <c r="AJ8" s="126">
        <v>726.25505014220391</v>
      </c>
      <c r="AK8" s="126">
        <v>534.82777165916843</v>
      </c>
      <c r="AL8" s="126">
        <v>497.37037539288281</v>
      </c>
    </row>
    <row r="9" spans="1:38" s="127" customFormat="1" ht="10.5" x14ac:dyDescent="0.25">
      <c r="A9" s="118">
        <v>6</v>
      </c>
      <c r="B9" s="119" t="s">
        <v>430</v>
      </c>
      <c r="C9" s="118" t="s">
        <v>135</v>
      </c>
      <c r="D9" s="120">
        <v>1733</v>
      </c>
      <c r="E9" s="121" t="s">
        <v>330</v>
      </c>
      <c r="F9" s="122">
        <v>7.96</v>
      </c>
      <c r="G9" s="120">
        <v>169088.87000000002</v>
      </c>
      <c r="H9" s="120">
        <v>157602.02000000002</v>
      </c>
      <c r="I9" s="120">
        <v>136657.1</v>
      </c>
      <c r="J9" s="120">
        <v>9061.92</v>
      </c>
      <c r="K9" s="120">
        <v>0</v>
      </c>
      <c r="L9" s="120">
        <v>853</v>
      </c>
      <c r="M9" s="120">
        <v>22042.3</v>
      </c>
      <c r="N9" s="120">
        <v>18470</v>
      </c>
      <c r="O9" s="120">
        <v>2822.3</v>
      </c>
      <c r="P9" s="120">
        <v>0</v>
      </c>
      <c r="Q9" s="120">
        <v>50</v>
      </c>
      <c r="R9" s="120">
        <v>750</v>
      </c>
      <c r="S9" s="120">
        <v>21856.895327625425</v>
      </c>
      <c r="T9" s="120">
        <v>14728.684673777938</v>
      </c>
      <c r="U9" s="120">
        <v>7128.2106538474882</v>
      </c>
      <c r="V9" s="120">
        <v>9931.5482089840771</v>
      </c>
      <c r="W9" s="120">
        <v>320.86956741000006</v>
      </c>
      <c r="X9" s="120">
        <v>9610.6786415740771</v>
      </c>
      <c r="Y9" s="120">
        <v>0</v>
      </c>
      <c r="Z9" s="120">
        <v>0</v>
      </c>
      <c r="AA9" s="123">
        <v>0.21199999999999999</v>
      </c>
      <c r="AB9" s="124">
        <v>450000</v>
      </c>
      <c r="AC9" s="124">
        <v>290000</v>
      </c>
      <c r="AD9" s="124">
        <v>2900000</v>
      </c>
      <c r="AE9" s="186" t="s">
        <v>385</v>
      </c>
      <c r="AF9" s="118">
        <v>2027</v>
      </c>
      <c r="AG9" s="126">
        <v>1799.5213623706754</v>
      </c>
      <c r="AH9" s="126">
        <v>1799.5213623706754</v>
      </c>
      <c r="AI9" s="126">
        <v>0</v>
      </c>
      <c r="AJ9" s="126">
        <v>0</v>
      </c>
      <c r="AK9" s="126">
        <v>0</v>
      </c>
      <c r="AL9" s="126">
        <v>0</v>
      </c>
    </row>
    <row r="10" spans="1:38" s="127" customFormat="1" ht="10.5" x14ac:dyDescent="0.25">
      <c r="A10" s="118">
        <v>7</v>
      </c>
      <c r="B10" s="119" t="s">
        <v>431</v>
      </c>
      <c r="C10" s="118" t="s">
        <v>135</v>
      </c>
      <c r="D10" s="120">
        <v>3387</v>
      </c>
      <c r="E10" s="121" t="s">
        <v>329</v>
      </c>
      <c r="F10" s="122">
        <v>0.4</v>
      </c>
      <c r="G10" s="120">
        <v>10809.02</v>
      </c>
      <c r="H10" s="120">
        <v>10809.02</v>
      </c>
      <c r="I10" s="120">
        <v>8265</v>
      </c>
      <c r="J10" s="120">
        <v>1331</v>
      </c>
      <c r="K10" s="120">
        <v>0</v>
      </c>
      <c r="L10" s="120">
        <v>69</v>
      </c>
      <c r="M10" s="120">
        <v>10809.02</v>
      </c>
      <c r="N10" s="120">
        <v>8265</v>
      </c>
      <c r="O10" s="120">
        <v>1331</v>
      </c>
      <c r="P10" s="120">
        <v>0</v>
      </c>
      <c r="Q10" s="120">
        <v>69</v>
      </c>
      <c r="R10" s="120">
        <v>1213.02</v>
      </c>
      <c r="S10" s="120">
        <v>4876.6918742241396</v>
      </c>
      <c r="T10" s="120">
        <v>161.41450999999961</v>
      </c>
      <c r="U10" s="120">
        <v>4715.27736422414</v>
      </c>
      <c r="V10" s="120">
        <v>14207.64508730106</v>
      </c>
      <c r="W10" s="120">
        <v>0</v>
      </c>
      <c r="X10" s="120">
        <v>14207.64508730106</v>
      </c>
      <c r="Y10" s="120">
        <v>0</v>
      </c>
      <c r="Z10" s="120">
        <v>0</v>
      </c>
      <c r="AA10" s="123">
        <v>0.23799999999999999</v>
      </c>
      <c r="AB10" s="124">
        <v>1200000</v>
      </c>
      <c r="AC10" s="124">
        <v>600000</v>
      </c>
      <c r="AD10" s="124">
        <v>4900000</v>
      </c>
      <c r="AE10" s="186" t="s">
        <v>386</v>
      </c>
      <c r="AF10" s="118">
        <v>2029</v>
      </c>
      <c r="AG10" s="126">
        <v>2198.3951614970988</v>
      </c>
      <c r="AH10" s="126">
        <v>705.31367140999998</v>
      </c>
      <c r="AI10" s="126">
        <v>1493.0814900870987</v>
      </c>
      <c r="AJ10" s="126">
        <v>1454.3941067438361</v>
      </c>
      <c r="AK10" s="126">
        <v>859.61806411555278</v>
      </c>
      <c r="AL10" s="126">
        <v>839.85328030530877</v>
      </c>
    </row>
    <row r="11" spans="1:38" s="127" customFormat="1" ht="10.5" x14ac:dyDescent="0.25">
      <c r="A11" s="128"/>
      <c r="B11" s="129" t="s">
        <v>440</v>
      </c>
      <c r="C11" s="128"/>
      <c r="D11" s="130">
        <v>140574</v>
      </c>
      <c r="E11" s="128"/>
      <c r="F11" s="128"/>
      <c r="G11" s="130">
        <v>1724484.2170000002</v>
      </c>
      <c r="H11" s="130">
        <v>1609014.5070000002</v>
      </c>
      <c r="I11" s="130">
        <v>1250938.655</v>
      </c>
      <c r="J11" s="130">
        <v>199832.63200000004</v>
      </c>
      <c r="K11" s="130">
        <v>0</v>
      </c>
      <c r="L11" s="130">
        <v>11411</v>
      </c>
      <c r="M11" s="130">
        <v>1091571.0870000001</v>
      </c>
      <c r="N11" s="130">
        <v>748905.65499999991</v>
      </c>
      <c r="O11" s="130">
        <v>168890.81200000003</v>
      </c>
      <c r="P11" s="130">
        <v>0</v>
      </c>
      <c r="Q11" s="130">
        <v>8779</v>
      </c>
      <c r="R11" s="130">
        <v>173774.62000000002</v>
      </c>
      <c r="S11" s="130">
        <v>362871.75005922152</v>
      </c>
      <c r="T11" s="130">
        <v>97563.905737082037</v>
      </c>
      <c r="U11" s="130">
        <v>265307.84432213957</v>
      </c>
      <c r="V11" s="130">
        <v>635260.89497580356</v>
      </c>
      <c r="W11" s="130">
        <v>50554.680424890001</v>
      </c>
      <c r="X11" s="130">
        <v>515156.13200248353</v>
      </c>
      <c r="Y11" s="130">
        <v>69550.08254843</v>
      </c>
      <c r="Z11" s="130">
        <v>76663.492519899999</v>
      </c>
      <c r="AA11" s="131"/>
      <c r="AB11" s="130"/>
      <c r="AC11" s="130"/>
      <c r="AD11" s="130"/>
      <c r="AE11" s="131"/>
      <c r="AF11" s="131"/>
      <c r="AG11" s="132">
        <v>120918.15393168597</v>
      </c>
      <c r="AH11" s="132">
        <v>65128.494949417938</v>
      </c>
      <c r="AI11" s="132">
        <v>55789.658982268003</v>
      </c>
      <c r="AJ11" s="132">
        <v>50730.820182213523</v>
      </c>
      <c r="AK11" s="132">
        <v>29726.170738713576</v>
      </c>
      <c r="AL11" s="132">
        <v>26647.813605884294</v>
      </c>
    </row>
    <row r="12" spans="1:38" s="169" customFormat="1" ht="10.5" customHeight="1" x14ac:dyDescent="0.25">
      <c r="A12" s="168"/>
      <c r="B12" s="115" t="s">
        <v>332</v>
      </c>
      <c r="C12" s="168"/>
      <c r="D12" s="167"/>
      <c r="E12" s="168"/>
      <c r="F12" s="168"/>
      <c r="G12" s="168"/>
      <c r="H12" s="112"/>
      <c r="I12" s="112"/>
      <c r="J12" s="112"/>
      <c r="K12" s="112"/>
      <c r="L12" s="112"/>
      <c r="M12" s="112"/>
      <c r="N12" s="112"/>
      <c r="O12" s="112"/>
      <c r="P12" s="112"/>
      <c r="Q12" s="112"/>
      <c r="R12" s="112"/>
      <c r="S12" s="167"/>
      <c r="T12" s="167"/>
      <c r="U12" s="167"/>
      <c r="V12" s="167"/>
      <c r="W12" s="167"/>
      <c r="X12" s="167"/>
      <c r="Y12" s="167"/>
      <c r="Z12" s="167"/>
      <c r="AA12" s="167"/>
      <c r="AB12" s="116"/>
      <c r="AC12" s="116"/>
      <c r="AD12" s="116"/>
      <c r="AE12" s="167"/>
      <c r="AF12" s="167"/>
      <c r="AG12" s="167"/>
      <c r="AH12" s="167"/>
      <c r="AI12" s="117"/>
      <c r="AJ12" s="117"/>
      <c r="AK12" s="117"/>
      <c r="AL12" s="117"/>
    </row>
    <row r="13" spans="1:38" s="169" customFormat="1" ht="21" x14ac:dyDescent="0.25">
      <c r="A13" s="118">
        <v>8</v>
      </c>
      <c r="B13" s="119" t="s">
        <v>443</v>
      </c>
      <c r="C13" s="118" t="s">
        <v>136</v>
      </c>
      <c r="D13" s="120">
        <v>15831</v>
      </c>
      <c r="E13" s="121" t="s">
        <v>330</v>
      </c>
      <c r="F13" s="122">
        <v>4.0484999999999998</v>
      </c>
      <c r="G13" s="120">
        <v>63326.9</v>
      </c>
      <c r="H13" s="120">
        <v>55037.2</v>
      </c>
      <c r="I13" s="120">
        <v>45206.5</v>
      </c>
      <c r="J13" s="120">
        <v>2780.7</v>
      </c>
      <c r="K13" s="120">
        <v>0</v>
      </c>
      <c r="L13" s="120">
        <v>470</v>
      </c>
      <c r="M13" s="120">
        <v>50566.200000000004</v>
      </c>
      <c r="N13" s="120">
        <v>41197.800000000003</v>
      </c>
      <c r="O13" s="120">
        <v>2573.3999999999996</v>
      </c>
      <c r="P13" s="120">
        <v>0</v>
      </c>
      <c r="Q13" s="120">
        <v>453</v>
      </c>
      <c r="R13" s="120">
        <v>6795</v>
      </c>
      <c r="S13" s="120">
        <v>14671.388466252733</v>
      </c>
      <c r="T13" s="120">
        <v>1590.307176863822</v>
      </c>
      <c r="U13" s="120">
        <v>13081.081289388911</v>
      </c>
      <c r="V13" s="120">
        <v>52047.917948621245</v>
      </c>
      <c r="W13" s="120">
        <v>2977.1886285300002</v>
      </c>
      <c r="X13" s="120">
        <v>48594.280774621198</v>
      </c>
      <c r="Y13" s="120">
        <v>476.44854547000006</v>
      </c>
      <c r="Z13" s="120">
        <v>1103.1118299899999</v>
      </c>
      <c r="AA13" s="123">
        <v>0.21199999999999999</v>
      </c>
      <c r="AB13" s="124">
        <v>807000</v>
      </c>
      <c r="AC13" s="124">
        <v>557000</v>
      </c>
      <c r="AD13" s="124">
        <v>7250000</v>
      </c>
      <c r="AE13" s="186" t="s">
        <v>385</v>
      </c>
      <c r="AF13" s="118">
        <v>2027</v>
      </c>
      <c r="AG13" s="126">
        <v>5349.5515054200005</v>
      </c>
      <c r="AH13" s="126">
        <v>4665.7515054200003</v>
      </c>
      <c r="AI13" s="126">
        <v>683.80000000000018</v>
      </c>
      <c r="AJ13" s="126">
        <v>0</v>
      </c>
      <c r="AK13" s="126">
        <v>524.3787216212877</v>
      </c>
      <c r="AL13" s="126">
        <v>0</v>
      </c>
    </row>
    <row r="14" spans="1:38" s="169" customFormat="1" ht="10.5" customHeight="1" x14ac:dyDescent="0.25">
      <c r="A14" s="118">
        <v>9</v>
      </c>
      <c r="B14" s="119" t="s">
        <v>444</v>
      </c>
      <c r="C14" s="118" t="s">
        <v>136</v>
      </c>
      <c r="D14" s="120">
        <v>5594</v>
      </c>
      <c r="E14" s="121" t="s">
        <v>330</v>
      </c>
      <c r="F14" s="122">
        <v>5.3426999999999998</v>
      </c>
      <c r="G14" s="120">
        <v>102041.50000000001</v>
      </c>
      <c r="H14" s="120">
        <v>102041.50000000001</v>
      </c>
      <c r="I14" s="120">
        <v>90147.199999999997</v>
      </c>
      <c r="J14" s="120">
        <v>7574.3</v>
      </c>
      <c r="K14" s="120">
        <v>0</v>
      </c>
      <c r="L14" s="120">
        <v>288</v>
      </c>
      <c r="M14" s="120">
        <v>101967.59999999999</v>
      </c>
      <c r="N14" s="120">
        <v>90073.299999999988</v>
      </c>
      <c r="O14" s="120">
        <v>7574.3</v>
      </c>
      <c r="P14" s="120">
        <v>0</v>
      </c>
      <c r="Q14" s="120">
        <v>288</v>
      </c>
      <c r="R14" s="120">
        <v>4320</v>
      </c>
      <c r="S14" s="120">
        <v>14098.348120195553</v>
      </c>
      <c r="T14" s="120">
        <v>3428.0493660922384</v>
      </c>
      <c r="U14" s="120">
        <v>10670.298754103314</v>
      </c>
      <c r="V14" s="120">
        <v>29670.629662105865</v>
      </c>
      <c r="W14" s="120">
        <v>11.596339</v>
      </c>
      <c r="X14" s="120">
        <v>29659.033323105865</v>
      </c>
      <c r="Y14" s="120">
        <v>0</v>
      </c>
      <c r="Z14" s="120">
        <v>0</v>
      </c>
      <c r="AA14" s="123">
        <v>0.21199999999999999</v>
      </c>
      <c r="AB14" s="124">
        <v>220000</v>
      </c>
      <c r="AC14" s="124">
        <v>215000</v>
      </c>
      <c r="AD14" s="124">
        <v>600000</v>
      </c>
      <c r="AE14" s="186" t="s">
        <v>385</v>
      </c>
      <c r="AF14" s="118">
        <v>2028</v>
      </c>
      <c r="AG14" s="126">
        <v>1828.6131814999999</v>
      </c>
      <c r="AH14" s="126">
        <v>1826.6046406999999</v>
      </c>
      <c r="AI14" s="126">
        <v>2.0085407999999916</v>
      </c>
      <c r="AJ14" s="126">
        <v>0</v>
      </c>
      <c r="AK14" s="126">
        <v>1.4526108858787632</v>
      </c>
      <c r="AL14" s="126">
        <v>0</v>
      </c>
    </row>
    <row r="15" spans="1:38" s="169" customFormat="1" ht="10.5" customHeight="1" x14ac:dyDescent="0.25">
      <c r="A15" s="118">
        <v>10</v>
      </c>
      <c r="B15" s="119" t="s">
        <v>445</v>
      </c>
      <c r="C15" s="118" t="s">
        <v>136</v>
      </c>
      <c r="D15" s="120">
        <v>2217</v>
      </c>
      <c r="E15" s="121" t="s">
        <v>330</v>
      </c>
      <c r="F15" s="122">
        <v>20.722899999999999</v>
      </c>
      <c r="G15" s="120">
        <v>140600.20000000001</v>
      </c>
      <c r="H15" s="120">
        <v>104849.40000000001</v>
      </c>
      <c r="I15" s="120">
        <v>95369.400000000009</v>
      </c>
      <c r="J15" s="120">
        <v>8600</v>
      </c>
      <c r="K15" s="120">
        <v>0</v>
      </c>
      <c r="L15" s="120">
        <v>634</v>
      </c>
      <c r="M15" s="120">
        <v>113479.40000000001</v>
      </c>
      <c r="N15" s="120">
        <v>95369.400000000009</v>
      </c>
      <c r="O15" s="120">
        <v>8600</v>
      </c>
      <c r="P15" s="120">
        <v>0</v>
      </c>
      <c r="Q15" s="120">
        <v>634</v>
      </c>
      <c r="R15" s="120">
        <v>9510</v>
      </c>
      <c r="S15" s="120">
        <v>16415.168611447258</v>
      </c>
      <c r="T15" s="120">
        <v>361.03824830999838</v>
      </c>
      <c r="U15" s="120">
        <v>16054.130363137259</v>
      </c>
      <c r="V15" s="120">
        <v>31237.908595360328</v>
      </c>
      <c r="W15" s="120">
        <v>0</v>
      </c>
      <c r="X15" s="120">
        <v>31237.908595360328</v>
      </c>
      <c r="Y15" s="120">
        <v>0</v>
      </c>
      <c r="Z15" s="120">
        <v>0</v>
      </c>
      <c r="AA15" s="123">
        <v>0.23799999999999999</v>
      </c>
      <c r="AB15" s="124">
        <v>216000</v>
      </c>
      <c r="AC15" s="124">
        <v>100000</v>
      </c>
      <c r="AD15" s="124">
        <v>470000</v>
      </c>
      <c r="AE15" s="186" t="s">
        <v>386</v>
      </c>
      <c r="AF15" s="118">
        <v>2028</v>
      </c>
      <c r="AG15" s="126">
        <v>0</v>
      </c>
      <c r="AH15" s="126">
        <v>0</v>
      </c>
      <c r="AI15" s="126">
        <v>0</v>
      </c>
      <c r="AJ15" s="126">
        <v>0</v>
      </c>
      <c r="AK15" s="126">
        <v>0</v>
      </c>
      <c r="AL15" s="126">
        <v>0</v>
      </c>
    </row>
    <row r="16" spans="1:38" s="169" customFormat="1" ht="10.5" customHeight="1" x14ac:dyDescent="0.25">
      <c r="A16" s="118">
        <v>11</v>
      </c>
      <c r="B16" s="119" t="s">
        <v>335</v>
      </c>
      <c r="C16" s="118" t="s">
        <v>136</v>
      </c>
      <c r="D16" s="120">
        <v>2536</v>
      </c>
      <c r="E16" s="121" t="s">
        <v>330</v>
      </c>
      <c r="F16" s="122">
        <v>1.8379000000000001</v>
      </c>
      <c r="G16" s="120">
        <v>35849.119999999995</v>
      </c>
      <c r="H16" s="120">
        <v>35849.119999999995</v>
      </c>
      <c r="I16" s="120">
        <v>31611.919999999998</v>
      </c>
      <c r="J16" s="120">
        <v>2865.7</v>
      </c>
      <c r="K16" s="120">
        <v>0</v>
      </c>
      <c r="L16" s="120">
        <v>100</v>
      </c>
      <c r="M16" s="120">
        <v>15242.419999999998</v>
      </c>
      <c r="N16" s="120">
        <v>12148.919999999998</v>
      </c>
      <c r="O16" s="120">
        <v>903.49999999999977</v>
      </c>
      <c r="P16" s="120">
        <v>0</v>
      </c>
      <c r="Q16" s="120">
        <v>73</v>
      </c>
      <c r="R16" s="120">
        <v>2190</v>
      </c>
      <c r="S16" s="120">
        <v>4449.7187428699999</v>
      </c>
      <c r="T16" s="120">
        <v>3249.4556317873266</v>
      </c>
      <c r="U16" s="120">
        <v>1200.263111082673</v>
      </c>
      <c r="V16" s="120">
        <v>8011.9963546631589</v>
      </c>
      <c r="W16" s="120">
        <v>1389.8655671500001</v>
      </c>
      <c r="X16" s="120">
        <v>3503.1666893531587</v>
      </c>
      <c r="Y16" s="120">
        <v>3118.96409816</v>
      </c>
      <c r="Z16" s="120">
        <v>3525.4494141999999</v>
      </c>
      <c r="AA16" s="123">
        <v>0.21199999999999999</v>
      </c>
      <c r="AB16" s="124">
        <v>253000</v>
      </c>
      <c r="AC16" s="124">
        <v>215000</v>
      </c>
      <c r="AD16" s="124">
        <v>600000</v>
      </c>
      <c r="AE16" s="186" t="s">
        <v>385</v>
      </c>
      <c r="AF16" s="118">
        <v>2025</v>
      </c>
      <c r="AG16" s="126">
        <v>595.02550350000001</v>
      </c>
      <c r="AH16" s="126">
        <v>594.81347790000007</v>
      </c>
      <c r="AI16" s="126">
        <v>0.21202559999994719</v>
      </c>
      <c r="AJ16" s="126">
        <v>0</v>
      </c>
      <c r="AK16" s="126">
        <v>0.19259144468830575</v>
      </c>
      <c r="AL16" s="126">
        <v>0</v>
      </c>
    </row>
    <row r="17" spans="1:38" s="169" customFormat="1" ht="10.5" customHeight="1" x14ac:dyDescent="0.25">
      <c r="A17" s="118">
        <v>12</v>
      </c>
      <c r="B17" s="119" t="s">
        <v>446</v>
      </c>
      <c r="C17" s="118" t="s">
        <v>136</v>
      </c>
      <c r="D17" s="120">
        <v>1134</v>
      </c>
      <c r="E17" s="121" t="s">
        <v>330</v>
      </c>
      <c r="F17" s="122">
        <v>1.0992999999999999</v>
      </c>
      <c r="G17" s="120">
        <v>31941</v>
      </c>
      <c r="H17" s="120">
        <v>27721.360000000001</v>
      </c>
      <c r="I17" s="120">
        <v>23400</v>
      </c>
      <c r="J17" s="120">
        <v>2746.36</v>
      </c>
      <c r="K17" s="120">
        <v>0</v>
      </c>
      <c r="L17" s="120">
        <v>105</v>
      </c>
      <c r="M17" s="120">
        <v>20460.359999999946</v>
      </c>
      <c r="N17" s="120">
        <v>16138.999999999947</v>
      </c>
      <c r="O17" s="120">
        <v>2746.36</v>
      </c>
      <c r="P17" s="120">
        <v>0</v>
      </c>
      <c r="Q17" s="120">
        <v>105</v>
      </c>
      <c r="R17" s="120">
        <v>1575</v>
      </c>
      <c r="S17" s="120">
        <v>4921.409284681451</v>
      </c>
      <c r="T17" s="120">
        <v>2219.5727133789183</v>
      </c>
      <c r="U17" s="120">
        <v>2701.8365713025328</v>
      </c>
      <c r="V17" s="120">
        <v>7590.5600623619821</v>
      </c>
      <c r="W17" s="120">
        <v>912.23094366999999</v>
      </c>
      <c r="X17" s="120">
        <v>5745.8827126019823</v>
      </c>
      <c r="Y17" s="120">
        <v>932.44640608999998</v>
      </c>
      <c r="Z17" s="120">
        <v>2499.9159594400003</v>
      </c>
      <c r="AA17" s="123">
        <v>0.21199999999999999</v>
      </c>
      <c r="AB17" s="124">
        <v>270000</v>
      </c>
      <c r="AC17" s="124">
        <v>210000</v>
      </c>
      <c r="AD17" s="124">
        <v>1000000</v>
      </c>
      <c r="AE17" s="186" t="s">
        <v>385</v>
      </c>
      <c r="AF17" s="118">
        <v>2026</v>
      </c>
      <c r="AG17" s="126">
        <v>2002.8558843819999</v>
      </c>
      <c r="AH17" s="126">
        <v>1582.8558843819999</v>
      </c>
      <c r="AI17" s="126">
        <v>420</v>
      </c>
      <c r="AJ17" s="126">
        <v>0</v>
      </c>
      <c r="AK17" s="126">
        <v>259.71243304319211</v>
      </c>
      <c r="AL17" s="126">
        <v>0</v>
      </c>
    </row>
    <row r="18" spans="1:38" s="169" customFormat="1" ht="31.5" x14ac:dyDescent="0.25">
      <c r="A18" s="118">
        <v>13</v>
      </c>
      <c r="B18" s="119" t="s">
        <v>334</v>
      </c>
      <c r="C18" s="118" t="s">
        <v>136</v>
      </c>
      <c r="D18" s="120">
        <v>1691</v>
      </c>
      <c r="E18" s="121" t="s">
        <v>342</v>
      </c>
      <c r="F18" s="122">
        <v>1.0590999999999999</v>
      </c>
      <c r="G18" s="120">
        <v>23803</v>
      </c>
      <c r="H18" s="120">
        <v>23803</v>
      </c>
      <c r="I18" s="120">
        <v>18348</v>
      </c>
      <c r="J18" s="120">
        <v>2200</v>
      </c>
      <c r="K18" s="120">
        <v>0</v>
      </c>
      <c r="L18" s="120">
        <v>217</v>
      </c>
      <c r="M18" s="120">
        <v>23803</v>
      </c>
      <c r="N18" s="120">
        <v>18348</v>
      </c>
      <c r="O18" s="120">
        <v>2200</v>
      </c>
      <c r="P18" s="120">
        <v>0</v>
      </c>
      <c r="Q18" s="120">
        <v>217</v>
      </c>
      <c r="R18" s="120">
        <v>3255</v>
      </c>
      <c r="S18" s="120">
        <v>4227.5155674422804</v>
      </c>
      <c r="T18" s="120">
        <v>0.6328800000001138</v>
      </c>
      <c r="U18" s="120">
        <v>4226.8826874422803</v>
      </c>
      <c r="V18" s="120">
        <v>9161.7949622996621</v>
      </c>
      <c r="W18" s="120">
        <v>0</v>
      </c>
      <c r="X18" s="120">
        <v>9161.7949622996621</v>
      </c>
      <c r="Y18" s="120">
        <v>0</v>
      </c>
      <c r="Z18" s="120">
        <v>0</v>
      </c>
      <c r="AA18" s="123">
        <v>0.23799999999999999</v>
      </c>
      <c r="AB18" s="124">
        <v>330000</v>
      </c>
      <c r="AC18" s="124">
        <v>320000</v>
      </c>
      <c r="AD18" s="124">
        <v>1740000</v>
      </c>
      <c r="AE18" s="186" t="s">
        <v>386</v>
      </c>
      <c r="AF18" s="118">
        <v>2028</v>
      </c>
      <c r="AG18" s="126">
        <v>0</v>
      </c>
      <c r="AH18" s="126">
        <v>0</v>
      </c>
      <c r="AI18" s="126">
        <v>0</v>
      </c>
      <c r="AJ18" s="126">
        <v>0</v>
      </c>
      <c r="AK18" s="126">
        <v>0</v>
      </c>
      <c r="AL18" s="126">
        <v>0</v>
      </c>
    </row>
    <row r="19" spans="1:38" s="169" customFormat="1" ht="10.5" customHeight="1" x14ac:dyDescent="0.25">
      <c r="A19" s="118">
        <v>14</v>
      </c>
      <c r="B19" s="119" t="s">
        <v>447</v>
      </c>
      <c r="C19" s="118" t="s">
        <v>136</v>
      </c>
      <c r="D19" s="120">
        <v>2090</v>
      </c>
      <c r="E19" s="121" t="s">
        <v>330</v>
      </c>
      <c r="F19" s="122">
        <v>2.7637</v>
      </c>
      <c r="G19" s="120">
        <v>42148.5</v>
      </c>
      <c r="H19" s="120">
        <v>42148.5</v>
      </c>
      <c r="I19" s="120">
        <v>34614.75</v>
      </c>
      <c r="J19" s="120">
        <v>4526</v>
      </c>
      <c r="K19" s="120">
        <v>0</v>
      </c>
      <c r="L19" s="120">
        <v>227</v>
      </c>
      <c r="M19" s="120">
        <v>42148.5</v>
      </c>
      <c r="N19" s="120">
        <v>34614.75</v>
      </c>
      <c r="O19" s="120">
        <v>4526</v>
      </c>
      <c r="P19" s="120">
        <v>0</v>
      </c>
      <c r="Q19" s="120">
        <v>227</v>
      </c>
      <c r="R19" s="120">
        <v>3007.75</v>
      </c>
      <c r="S19" s="120">
        <v>7556.2110308525416</v>
      </c>
      <c r="T19" s="120">
        <v>529.88248422692322</v>
      </c>
      <c r="U19" s="120">
        <v>7026.3285466256184</v>
      </c>
      <c r="V19" s="120">
        <v>11443.323779792316</v>
      </c>
      <c r="W19" s="120">
        <v>0</v>
      </c>
      <c r="X19" s="120">
        <v>11443.323779792316</v>
      </c>
      <c r="Y19" s="120">
        <v>0</v>
      </c>
      <c r="Z19" s="120">
        <v>0</v>
      </c>
      <c r="AA19" s="123">
        <v>0.23799999999999999</v>
      </c>
      <c r="AB19" s="124">
        <v>290000</v>
      </c>
      <c r="AC19" s="124">
        <v>100000</v>
      </c>
      <c r="AD19" s="124">
        <v>800000</v>
      </c>
      <c r="AE19" s="186" t="s">
        <v>386</v>
      </c>
      <c r="AF19" s="118">
        <v>2028</v>
      </c>
      <c r="AG19" s="126">
        <v>1215.4056993099994</v>
      </c>
      <c r="AH19" s="126">
        <v>1213.9256993099993</v>
      </c>
      <c r="AI19" s="126">
        <v>1.4800000000000182</v>
      </c>
      <c r="AJ19" s="126">
        <v>0</v>
      </c>
      <c r="AK19" s="126">
        <v>1.0802884072323113</v>
      </c>
      <c r="AL19" s="126">
        <v>0</v>
      </c>
    </row>
    <row r="20" spans="1:38" s="169" customFormat="1" ht="10.5" customHeight="1" x14ac:dyDescent="0.25">
      <c r="A20" s="118">
        <v>15</v>
      </c>
      <c r="B20" s="119" t="s">
        <v>337</v>
      </c>
      <c r="C20" s="118" t="s">
        <v>136</v>
      </c>
      <c r="D20" s="120">
        <v>839</v>
      </c>
      <c r="E20" s="121" t="s">
        <v>330</v>
      </c>
      <c r="F20" s="122">
        <v>1.4824999999999999</v>
      </c>
      <c r="G20" s="120">
        <v>12033.8</v>
      </c>
      <c r="H20" s="120">
        <v>12033.8</v>
      </c>
      <c r="I20" s="120">
        <v>11376.8</v>
      </c>
      <c r="J20" s="120">
        <v>657</v>
      </c>
      <c r="K20" s="120">
        <v>0</v>
      </c>
      <c r="L20" s="120">
        <v>0</v>
      </c>
      <c r="M20" s="120">
        <v>3507.1999999999985</v>
      </c>
      <c r="N20" s="120">
        <v>3102.0999999999985</v>
      </c>
      <c r="O20" s="120">
        <v>405.1</v>
      </c>
      <c r="P20" s="120">
        <v>0</v>
      </c>
      <c r="Q20" s="120">
        <v>0</v>
      </c>
      <c r="R20" s="120">
        <v>0</v>
      </c>
      <c r="S20" s="120">
        <v>1627.6877835939999</v>
      </c>
      <c r="T20" s="120">
        <v>1088.5024400311004</v>
      </c>
      <c r="U20" s="120">
        <v>539.18534356289945</v>
      </c>
      <c r="V20" s="120">
        <v>2789.16730005</v>
      </c>
      <c r="W20" s="120">
        <v>435.87680822000004</v>
      </c>
      <c r="X20" s="120">
        <v>962.78156839999997</v>
      </c>
      <c r="Y20" s="120">
        <v>1390.5089234300001</v>
      </c>
      <c r="Z20" s="120">
        <v>1273.0601131599999</v>
      </c>
      <c r="AA20" s="123">
        <v>0.21199999999999999</v>
      </c>
      <c r="AB20" s="124">
        <v>270000</v>
      </c>
      <c r="AC20" s="124">
        <v>248000</v>
      </c>
      <c r="AD20" s="124">
        <v>0</v>
      </c>
      <c r="AE20" s="186" t="s">
        <v>385</v>
      </c>
      <c r="AF20" s="118">
        <v>2025</v>
      </c>
      <c r="AG20" s="126">
        <v>197.248473011941</v>
      </c>
      <c r="AH20" s="126">
        <v>197.248473011941</v>
      </c>
      <c r="AI20" s="126">
        <v>0</v>
      </c>
      <c r="AJ20" s="126">
        <v>0</v>
      </c>
      <c r="AK20" s="126">
        <v>0</v>
      </c>
      <c r="AL20" s="126">
        <v>0</v>
      </c>
    </row>
    <row r="21" spans="1:38" s="169" customFormat="1" ht="10.5" customHeight="1" x14ac:dyDescent="0.25">
      <c r="A21" s="118">
        <v>16</v>
      </c>
      <c r="B21" s="119" t="s">
        <v>449</v>
      </c>
      <c r="C21" s="118" t="s">
        <v>136</v>
      </c>
      <c r="D21" s="120">
        <v>884</v>
      </c>
      <c r="E21" s="121" t="s">
        <v>330</v>
      </c>
      <c r="F21" s="122">
        <v>0.24440000000000001</v>
      </c>
      <c r="G21" s="120">
        <v>9353</v>
      </c>
      <c r="H21" s="120">
        <v>9277</v>
      </c>
      <c r="I21" s="120">
        <v>7951</v>
      </c>
      <c r="J21" s="120">
        <v>381</v>
      </c>
      <c r="K21" s="120">
        <v>0</v>
      </c>
      <c r="L21" s="120">
        <v>63</v>
      </c>
      <c r="M21" s="120">
        <v>9277</v>
      </c>
      <c r="N21" s="120">
        <v>7951</v>
      </c>
      <c r="O21" s="120">
        <v>381</v>
      </c>
      <c r="P21" s="120">
        <v>0</v>
      </c>
      <c r="Q21" s="120">
        <v>63</v>
      </c>
      <c r="R21" s="120">
        <v>945</v>
      </c>
      <c r="S21" s="120">
        <v>1710.7114165858245</v>
      </c>
      <c r="T21" s="120">
        <v>90.745610665039067</v>
      </c>
      <c r="U21" s="120">
        <v>1619.9658059207854</v>
      </c>
      <c r="V21" s="120">
        <v>4390.2995680864196</v>
      </c>
      <c r="W21" s="120">
        <v>0</v>
      </c>
      <c r="X21" s="120">
        <v>4390.2995680864196</v>
      </c>
      <c r="Y21" s="120">
        <v>0</v>
      </c>
      <c r="Z21" s="120">
        <v>482.77743917999999</v>
      </c>
      <c r="AA21" s="123">
        <v>0.23799999999999999</v>
      </c>
      <c r="AB21" s="124">
        <v>420000</v>
      </c>
      <c r="AC21" s="124">
        <v>340000</v>
      </c>
      <c r="AD21" s="124">
        <v>2300000</v>
      </c>
      <c r="AE21" s="186" t="s">
        <v>386</v>
      </c>
      <c r="AF21" s="118">
        <v>2028</v>
      </c>
      <c r="AG21" s="126">
        <v>976</v>
      </c>
      <c r="AH21" s="126">
        <v>976</v>
      </c>
      <c r="AI21" s="126">
        <v>0</v>
      </c>
      <c r="AJ21" s="126">
        <v>0</v>
      </c>
      <c r="AK21" s="126">
        <v>0</v>
      </c>
      <c r="AL21" s="126">
        <v>0</v>
      </c>
    </row>
    <row r="22" spans="1:38" s="169" customFormat="1" ht="10.5" customHeight="1" x14ac:dyDescent="0.25">
      <c r="A22" s="118">
        <v>17</v>
      </c>
      <c r="B22" s="119" t="s">
        <v>448</v>
      </c>
      <c r="C22" s="118" t="s">
        <v>441</v>
      </c>
      <c r="D22" s="120">
        <v>5079</v>
      </c>
      <c r="E22" s="121" t="s">
        <v>330</v>
      </c>
      <c r="F22" s="122">
        <v>16.8704</v>
      </c>
      <c r="G22" s="120">
        <v>409592</v>
      </c>
      <c r="H22" s="120">
        <v>363328</v>
      </c>
      <c r="I22" s="120">
        <v>321241</v>
      </c>
      <c r="J22" s="120">
        <v>14087</v>
      </c>
      <c r="K22" s="120">
        <v>0</v>
      </c>
      <c r="L22" s="120">
        <v>1000</v>
      </c>
      <c r="M22" s="120">
        <v>363328</v>
      </c>
      <c r="N22" s="120">
        <v>321241</v>
      </c>
      <c r="O22" s="120">
        <v>14087</v>
      </c>
      <c r="P22" s="120">
        <v>0</v>
      </c>
      <c r="Q22" s="120">
        <v>1000</v>
      </c>
      <c r="R22" s="120">
        <v>28000</v>
      </c>
      <c r="S22" s="120">
        <v>44630.379678801233</v>
      </c>
      <c r="T22" s="120">
        <v>0</v>
      </c>
      <c r="U22" s="120">
        <v>44630.379678801233</v>
      </c>
      <c r="V22" s="120">
        <v>79419.534780288741</v>
      </c>
      <c r="W22" s="120">
        <v>0</v>
      </c>
      <c r="X22" s="120">
        <v>79419.534780288741</v>
      </c>
      <c r="Y22" s="120">
        <v>0</v>
      </c>
      <c r="Z22" s="120">
        <v>0</v>
      </c>
      <c r="AA22" s="123">
        <v>0.23799999999999999</v>
      </c>
      <c r="AB22" s="124">
        <v>160000</v>
      </c>
      <c r="AC22" s="124">
        <v>225000</v>
      </c>
      <c r="AD22" s="124">
        <v>380000</v>
      </c>
      <c r="AE22" s="186" t="s">
        <v>386</v>
      </c>
      <c r="AF22" s="125" t="s">
        <v>415</v>
      </c>
      <c r="AG22" s="126">
        <v>5030.0000000000009</v>
      </c>
      <c r="AH22" s="126">
        <v>728</v>
      </c>
      <c r="AI22" s="126">
        <v>4302.0000000000009</v>
      </c>
      <c r="AJ22" s="126">
        <v>0</v>
      </c>
      <c r="AK22" s="126">
        <v>3561.125361344662</v>
      </c>
      <c r="AL22" s="126">
        <v>0</v>
      </c>
    </row>
    <row r="23" spans="1:38" s="169" customFormat="1" ht="10.5" customHeight="1" x14ac:dyDescent="0.25">
      <c r="A23" s="128"/>
      <c r="B23" s="151" t="s">
        <v>442</v>
      </c>
      <c r="C23" s="128"/>
      <c r="D23" s="130">
        <v>37895</v>
      </c>
      <c r="E23" s="128"/>
      <c r="F23" s="128"/>
      <c r="G23" s="130">
        <v>870689.02</v>
      </c>
      <c r="H23" s="130">
        <v>776088.88</v>
      </c>
      <c r="I23" s="130">
        <v>679266.57000000007</v>
      </c>
      <c r="J23" s="130">
        <v>46418.06</v>
      </c>
      <c r="K23" s="130">
        <v>0</v>
      </c>
      <c r="L23" s="130">
        <v>3104</v>
      </c>
      <c r="M23" s="130">
        <v>743779.67999999993</v>
      </c>
      <c r="N23" s="130">
        <v>640185.2699999999</v>
      </c>
      <c r="O23" s="130">
        <v>43996.66</v>
      </c>
      <c r="P23" s="130">
        <v>0</v>
      </c>
      <c r="Q23" s="130">
        <v>3060</v>
      </c>
      <c r="R23" s="130">
        <v>59597.75</v>
      </c>
      <c r="S23" s="130">
        <v>114308.53870272287</v>
      </c>
      <c r="T23" s="130">
        <v>12558.186551355368</v>
      </c>
      <c r="U23" s="130">
        <v>101750.35215136751</v>
      </c>
      <c r="V23" s="130">
        <v>235763.1330136297</v>
      </c>
      <c r="W23" s="130">
        <v>5726.7582865700006</v>
      </c>
      <c r="X23" s="130">
        <v>224118.00675390975</v>
      </c>
      <c r="Y23" s="130">
        <v>5918.3679731500006</v>
      </c>
      <c r="Z23" s="130">
        <v>8884.3147559699992</v>
      </c>
      <c r="AA23" s="131"/>
      <c r="AB23" s="130"/>
      <c r="AC23" s="130"/>
      <c r="AD23" s="130"/>
      <c r="AE23" s="131"/>
      <c r="AF23" s="131"/>
      <c r="AG23" s="132">
        <v>17194.700247123943</v>
      </c>
      <c r="AH23" s="132">
        <v>11785.199680723941</v>
      </c>
      <c r="AI23" s="132">
        <v>5409.5005664000009</v>
      </c>
      <c r="AJ23" s="132">
        <v>0</v>
      </c>
      <c r="AK23" s="132">
        <v>4347.9420067469409</v>
      </c>
      <c r="AL23" s="132">
        <v>0</v>
      </c>
    </row>
    <row r="24" spans="1:38" s="169" customFormat="1" ht="10.5" customHeight="1" x14ac:dyDescent="0.25">
      <c r="A24" s="168"/>
      <c r="B24" s="115" t="s">
        <v>338</v>
      </c>
      <c r="C24" s="168"/>
      <c r="D24" s="167"/>
      <c r="E24" s="168"/>
      <c r="F24" s="168"/>
      <c r="G24" s="168"/>
      <c r="H24" s="112"/>
      <c r="I24" s="112"/>
      <c r="J24" s="112"/>
      <c r="K24" s="112"/>
      <c r="L24" s="112"/>
      <c r="M24" s="112"/>
      <c r="N24" s="112"/>
      <c r="O24" s="112"/>
      <c r="P24" s="112"/>
      <c r="Q24" s="112"/>
      <c r="R24" s="112"/>
      <c r="S24" s="167"/>
      <c r="T24" s="167"/>
      <c r="U24" s="167"/>
      <c r="V24" s="167"/>
      <c r="W24" s="167"/>
      <c r="X24" s="167"/>
      <c r="Y24" s="167"/>
      <c r="Z24" s="167"/>
      <c r="AA24" s="167"/>
      <c r="AB24" s="116"/>
      <c r="AC24" s="116"/>
      <c r="AD24" s="116"/>
      <c r="AE24" s="187"/>
      <c r="AF24" s="167"/>
      <c r="AG24" s="167"/>
      <c r="AH24" s="167"/>
      <c r="AI24" s="117"/>
      <c r="AJ24" s="117"/>
      <c r="AK24" s="117"/>
      <c r="AL24" s="117"/>
    </row>
    <row r="25" spans="1:38" s="169" customFormat="1" ht="18" customHeight="1" x14ac:dyDescent="0.25">
      <c r="A25" s="118">
        <v>18</v>
      </c>
      <c r="B25" s="119" t="s">
        <v>339</v>
      </c>
      <c r="C25" s="118" t="s">
        <v>340</v>
      </c>
      <c r="D25" s="120">
        <v>14245</v>
      </c>
      <c r="E25" s="121" t="s">
        <v>329</v>
      </c>
      <c r="F25" s="122">
        <v>164.42689999999999</v>
      </c>
      <c r="G25" s="120">
        <v>1290666.2000000002</v>
      </c>
      <c r="H25" s="120">
        <v>1073964.0506965017</v>
      </c>
      <c r="I25" s="120">
        <v>964018.54069650185</v>
      </c>
      <c r="J25" s="120">
        <v>66765.41</v>
      </c>
      <c r="K25" s="120">
        <v>0</v>
      </c>
      <c r="L25" s="120">
        <v>2903</v>
      </c>
      <c r="M25" s="120">
        <v>961460.35069650179</v>
      </c>
      <c r="N25" s="120">
        <v>859938.7406965018</v>
      </c>
      <c r="O25" s="120">
        <v>58399.61</v>
      </c>
      <c r="P25" s="120">
        <v>0</v>
      </c>
      <c r="Q25" s="120">
        <v>2822</v>
      </c>
      <c r="R25" s="120">
        <v>43122</v>
      </c>
      <c r="S25" s="120">
        <v>164405.59192651851</v>
      </c>
      <c r="T25" s="120">
        <v>14699.768596553884</v>
      </c>
      <c r="U25" s="120">
        <v>149705.82332996462</v>
      </c>
      <c r="V25" s="120">
        <v>210816.63299865864</v>
      </c>
      <c r="W25" s="120">
        <v>1350.8387094199998</v>
      </c>
      <c r="X25" s="120">
        <v>198345.77699637864</v>
      </c>
      <c r="Y25" s="120">
        <v>11120.01729286</v>
      </c>
      <c r="Z25" s="120">
        <v>10190.274257820001</v>
      </c>
      <c r="AA25" s="123">
        <v>0.21199999999999999</v>
      </c>
      <c r="AB25" s="124">
        <v>160000</v>
      </c>
      <c r="AC25" s="124">
        <v>200000</v>
      </c>
      <c r="AD25" s="124">
        <v>1540000</v>
      </c>
      <c r="AE25" s="186" t="s">
        <v>385</v>
      </c>
      <c r="AF25" s="125" t="s">
        <v>416</v>
      </c>
      <c r="AG25" s="126">
        <v>78.247758684511197</v>
      </c>
      <c r="AH25" s="126">
        <v>67.840394081034972</v>
      </c>
      <c r="AI25" s="126">
        <v>10.407364603476225</v>
      </c>
      <c r="AJ25" s="126">
        <v>0</v>
      </c>
      <c r="AK25" s="126">
        <v>5.1083637513265012</v>
      </c>
      <c r="AL25" s="126">
        <v>0</v>
      </c>
    </row>
    <row r="26" spans="1:38" s="169" customFormat="1" ht="10.5" customHeight="1" x14ac:dyDescent="0.25">
      <c r="A26" s="168"/>
      <c r="B26" s="115" t="s">
        <v>388</v>
      </c>
      <c r="C26" s="168"/>
      <c r="D26" s="167"/>
      <c r="E26" s="168"/>
      <c r="F26" s="168"/>
      <c r="G26" s="168"/>
      <c r="H26" s="112"/>
      <c r="I26" s="112"/>
      <c r="J26" s="112"/>
      <c r="K26" s="112"/>
      <c r="L26" s="112"/>
      <c r="M26" s="112"/>
      <c r="N26" s="112"/>
      <c r="O26" s="112"/>
      <c r="P26" s="112"/>
      <c r="Q26" s="112"/>
      <c r="R26" s="112"/>
      <c r="S26" s="167"/>
      <c r="T26" s="167"/>
      <c r="U26" s="167"/>
      <c r="V26" s="167"/>
      <c r="W26" s="167"/>
      <c r="X26" s="167"/>
      <c r="Y26" s="167"/>
      <c r="Z26" s="167"/>
      <c r="AA26" s="167"/>
      <c r="AB26" s="116"/>
      <c r="AC26" s="116"/>
      <c r="AD26" s="116"/>
      <c r="AE26" s="187"/>
      <c r="AF26" s="167"/>
      <c r="AG26" s="167"/>
      <c r="AH26" s="167"/>
      <c r="AI26" s="117"/>
      <c r="AJ26" s="117"/>
      <c r="AK26" s="117"/>
      <c r="AL26" s="117"/>
    </row>
    <row r="27" spans="1:38" s="169" customFormat="1" ht="10.5" customHeight="1" x14ac:dyDescent="0.25">
      <c r="A27" s="118">
        <v>19</v>
      </c>
      <c r="B27" s="119" t="s">
        <v>341</v>
      </c>
      <c r="C27" s="118" t="s">
        <v>389</v>
      </c>
      <c r="D27" s="120">
        <v>6799</v>
      </c>
      <c r="E27" s="121" t="s">
        <v>330</v>
      </c>
      <c r="F27" s="122">
        <v>26.09</v>
      </c>
      <c r="G27" s="120">
        <v>299700.8</v>
      </c>
      <c r="H27" s="120">
        <v>299700.8</v>
      </c>
      <c r="I27" s="120">
        <v>225918.19999999998</v>
      </c>
      <c r="J27" s="120">
        <v>22552.3</v>
      </c>
      <c r="K27" s="120">
        <v>0</v>
      </c>
      <c r="L27" s="120">
        <v>3442</v>
      </c>
      <c r="M27" s="120">
        <v>274828</v>
      </c>
      <c r="N27" s="120">
        <v>200584.09999999998</v>
      </c>
      <c r="O27" s="120">
        <v>21803.9</v>
      </c>
      <c r="P27" s="120">
        <v>0</v>
      </c>
      <c r="Q27" s="120">
        <v>3187</v>
      </c>
      <c r="R27" s="120">
        <v>52440</v>
      </c>
      <c r="S27" s="120">
        <v>34790.362229228616</v>
      </c>
      <c r="T27" s="120">
        <v>2274.1319741878906</v>
      </c>
      <c r="U27" s="120">
        <v>32516.230255040726</v>
      </c>
      <c r="V27" s="120">
        <v>48521.93934502262</v>
      </c>
      <c r="W27" s="120">
        <v>1900.8290145800001</v>
      </c>
      <c r="X27" s="120">
        <v>45200.310054022622</v>
      </c>
      <c r="Y27" s="120">
        <v>1420.80027642</v>
      </c>
      <c r="Z27" s="120">
        <v>2465.5514867100001</v>
      </c>
      <c r="AA27" s="123">
        <v>0.21199999999999999</v>
      </c>
      <c r="AB27" s="124">
        <v>161000</v>
      </c>
      <c r="AC27" s="124">
        <v>130000</v>
      </c>
      <c r="AD27" s="124">
        <v>500000</v>
      </c>
      <c r="AE27" s="186" t="s">
        <v>385</v>
      </c>
      <c r="AF27" s="125" t="s">
        <v>417</v>
      </c>
      <c r="AG27" s="126">
        <v>861.68466246881349</v>
      </c>
      <c r="AH27" s="126">
        <v>854.17034273881347</v>
      </c>
      <c r="AI27" s="126">
        <v>7.5143197300000111</v>
      </c>
      <c r="AJ27" s="126">
        <v>0</v>
      </c>
      <c r="AK27" s="126">
        <v>6.8255611239894591</v>
      </c>
      <c r="AL27" s="126">
        <v>0</v>
      </c>
    </row>
    <row r="28" spans="1:38" s="169" customFormat="1" ht="10.5" customHeight="1" x14ac:dyDescent="0.25">
      <c r="A28" s="168"/>
      <c r="B28" s="115" t="s">
        <v>390</v>
      </c>
      <c r="C28" s="168"/>
      <c r="D28" s="167"/>
      <c r="E28" s="168"/>
      <c r="F28" s="168"/>
      <c r="G28" s="168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67"/>
      <c r="T28" s="167"/>
      <c r="U28" s="167"/>
      <c r="V28" s="167"/>
      <c r="W28" s="167"/>
      <c r="X28" s="167"/>
      <c r="Y28" s="167"/>
      <c r="Z28" s="167"/>
      <c r="AA28" s="167"/>
      <c r="AB28" s="116"/>
      <c r="AC28" s="116"/>
      <c r="AD28" s="116"/>
      <c r="AE28" s="187"/>
      <c r="AF28" s="167"/>
      <c r="AG28" s="167"/>
      <c r="AH28" s="167"/>
      <c r="AI28" s="117"/>
      <c r="AJ28" s="117"/>
      <c r="AK28" s="117"/>
      <c r="AL28" s="117"/>
    </row>
    <row r="29" spans="1:38" s="169" customFormat="1" ht="10.5" customHeight="1" x14ac:dyDescent="0.25">
      <c r="A29" s="118">
        <v>20</v>
      </c>
      <c r="B29" s="119" t="s">
        <v>346</v>
      </c>
      <c r="C29" s="118" t="s">
        <v>345</v>
      </c>
      <c r="D29" s="120">
        <v>33313</v>
      </c>
      <c r="E29" s="121" t="s">
        <v>330</v>
      </c>
      <c r="F29" s="122">
        <v>169.77189999999999</v>
      </c>
      <c r="G29" s="120">
        <v>1885284.7400000005</v>
      </c>
      <c r="H29" s="120">
        <v>1827864.7400000005</v>
      </c>
      <c r="I29" s="120">
        <v>1542172.61</v>
      </c>
      <c r="J29" s="120">
        <v>112802.43000000004</v>
      </c>
      <c r="K29" s="120">
        <v>1500</v>
      </c>
      <c r="L29" s="120">
        <v>11517</v>
      </c>
      <c r="M29" s="120">
        <v>1697702</v>
      </c>
      <c r="N29" s="120">
        <v>1418159.6</v>
      </c>
      <c r="O29" s="120">
        <v>108152.70000000003</v>
      </c>
      <c r="P29" s="120">
        <v>0</v>
      </c>
      <c r="Q29" s="120">
        <v>11517</v>
      </c>
      <c r="R29" s="120">
        <v>171389.7</v>
      </c>
      <c r="S29" s="120">
        <v>206464.64495336491</v>
      </c>
      <c r="T29" s="120">
        <v>8429.1641620443843</v>
      </c>
      <c r="U29" s="120">
        <v>198035.48079132053</v>
      </c>
      <c r="V29" s="120">
        <v>331877.75485934038</v>
      </c>
      <c r="W29" s="120">
        <v>4140.9677232700005</v>
      </c>
      <c r="X29" s="120">
        <v>316795.67704122036</v>
      </c>
      <c r="Y29" s="120">
        <v>10941.110094850001</v>
      </c>
      <c r="Z29" s="120">
        <v>6206.552001850001</v>
      </c>
      <c r="AA29" s="123">
        <v>0.21199999999999999</v>
      </c>
      <c r="AB29" s="124">
        <v>144000</v>
      </c>
      <c r="AC29" s="124">
        <v>146000</v>
      </c>
      <c r="AD29" s="124">
        <v>300000</v>
      </c>
      <c r="AE29" s="186" t="s">
        <v>385</v>
      </c>
      <c r="AF29" s="125" t="s">
        <v>418</v>
      </c>
      <c r="AG29" s="126">
        <v>10973.872297864216</v>
      </c>
      <c r="AH29" s="126">
        <v>9894.2700067087662</v>
      </c>
      <c r="AI29" s="126">
        <v>1079.6022911554501</v>
      </c>
      <c r="AJ29" s="126">
        <v>0</v>
      </c>
      <c r="AK29" s="126">
        <v>325.92724451252133</v>
      </c>
      <c r="AL29" s="126">
        <v>0</v>
      </c>
    </row>
    <row r="30" spans="1:38" s="169" customFormat="1" ht="10.5" customHeight="1" x14ac:dyDescent="0.25">
      <c r="A30" s="118">
        <v>21</v>
      </c>
      <c r="B30" s="119" t="s">
        <v>20</v>
      </c>
      <c r="C30" s="118" t="s">
        <v>345</v>
      </c>
      <c r="D30" s="120">
        <v>555</v>
      </c>
      <c r="E30" s="121" t="s">
        <v>330</v>
      </c>
      <c r="F30" s="122">
        <v>3.3304999999999998</v>
      </c>
      <c r="G30" s="120">
        <v>33691.829999999994</v>
      </c>
      <c r="H30" s="120">
        <v>33691.829999999994</v>
      </c>
      <c r="I30" s="120">
        <v>27688.17</v>
      </c>
      <c r="J30" s="120">
        <v>1585.21</v>
      </c>
      <c r="K30" s="120">
        <v>0</v>
      </c>
      <c r="L30" s="120">
        <v>311</v>
      </c>
      <c r="M30" s="120">
        <v>5204.37</v>
      </c>
      <c r="N30" s="120">
        <v>0</v>
      </c>
      <c r="O30" s="120">
        <v>785.92000000000007</v>
      </c>
      <c r="P30" s="120">
        <v>0</v>
      </c>
      <c r="Q30" s="120">
        <v>189</v>
      </c>
      <c r="R30" s="120">
        <v>4418.45</v>
      </c>
      <c r="S30" s="120">
        <v>2351.0295115222066</v>
      </c>
      <c r="T30" s="120">
        <v>2172.030150940197</v>
      </c>
      <c r="U30" s="120">
        <v>178.99936058200942</v>
      </c>
      <c r="V30" s="120">
        <v>2016.3143592199999</v>
      </c>
      <c r="W30" s="120">
        <v>62.759396680000002</v>
      </c>
      <c r="X30" s="120">
        <v>290.44335553999986</v>
      </c>
      <c r="Y30" s="120">
        <v>1663.111607</v>
      </c>
      <c r="Z30" s="120">
        <v>1195.8502394300001</v>
      </c>
      <c r="AA30" s="123">
        <v>0.21199999999999999</v>
      </c>
      <c r="AB30" s="124">
        <v>0</v>
      </c>
      <c r="AC30" s="124">
        <v>139000</v>
      </c>
      <c r="AD30" s="124">
        <v>850000</v>
      </c>
      <c r="AE30" s="186" t="s">
        <v>385</v>
      </c>
      <c r="AF30" s="125" t="s">
        <v>419</v>
      </c>
      <c r="AG30" s="126">
        <v>249.1390115010291</v>
      </c>
      <c r="AH30" s="126">
        <v>249.1390115010291</v>
      </c>
      <c r="AI30" s="126">
        <v>0</v>
      </c>
      <c r="AJ30" s="126">
        <v>0</v>
      </c>
      <c r="AK30" s="126">
        <v>0</v>
      </c>
      <c r="AL30" s="126">
        <v>0</v>
      </c>
    </row>
    <row r="31" spans="1:38" s="169" customFormat="1" ht="10.5" customHeight="1" x14ac:dyDescent="0.25">
      <c r="A31" s="118">
        <v>22</v>
      </c>
      <c r="B31" s="119" t="s">
        <v>22</v>
      </c>
      <c r="C31" s="118" t="s">
        <v>345</v>
      </c>
      <c r="D31" s="120">
        <v>2916</v>
      </c>
      <c r="E31" s="121" t="s">
        <v>330</v>
      </c>
      <c r="F31" s="122">
        <v>4.7275</v>
      </c>
      <c r="G31" s="120">
        <v>108496.40000000001</v>
      </c>
      <c r="H31" s="120">
        <v>108496.40000000001</v>
      </c>
      <c r="I31" s="120">
        <v>89931.83</v>
      </c>
      <c r="J31" s="120">
        <v>5184.8700000000008</v>
      </c>
      <c r="K31" s="120">
        <v>0</v>
      </c>
      <c r="L31" s="120">
        <v>917</v>
      </c>
      <c r="M31" s="120">
        <v>86668.479999999996</v>
      </c>
      <c r="N31" s="120">
        <v>65327.5</v>
      </c>
      <c r="O31" s="120">
        <v>4900.9800000000005</v>
      </c>
      <c r="P31" s="120">
        <v>0</v>
      </c>
      <c r="Q31" s="120">
        <v>869</v>
      </c>
      <c r="R31" s="120">
        <v>16440</v>
      </c>
      <c r="S31" s="120">
        <v>10165.866019196932</v>
      </c>
      <c r="T31" s="120">
        <v>2947.2487000718247</v>
      </c>
      <c r="U31" s="120">
        <v>7218.6173191251073</v>
      </c>
      <c r="V31" s="120">
        <v>14190.916783342538</v>
      </c>
      <c r="W31" s="120">
        <v>442.36078132</v>
      </c>
      <c r="X31" s="120">
        <v>13274.656088522539</v>
      </c>
      <c r="Y31" s="120">
        <v>473.89991350000003</v>
      </c>
      <c r="Z31" s="120">
        <v>472.28081501000003</v>
      </c>
      <c r="AA31" s="123">
        <v>0.21199999999999999</v>
      </c>
      <c r="AB31" s="124">
        <v>150000</v>
      </c>
      <c r="AC31" s="124">
        <v>190000</v>
      </c>
      <c r="AD31" s="124">
        <v>350000</v>
      </c>
      <c r="AE31" s="186" t="s">
        <v>385</v>
      </c>
      <c r="AF31" s="125" t="s">
        <v>420</v>
      </c>
      <c r="AG31" s="126">
        <v>217.32345403091682</v>
      </c>
      <c r="AH31" s="126">
        <v>217.32345403091682</v>
      </c>
      <c r="AI31" s="126">
        <v>0</v>
      </c>
      <c r="AJ31" s="126">
        <v>0</v>
      </c>
      <c r="AK31" s="126">
        <v>0</v>
      </c>
      <c r="AL31" s="126">
        <v>0</v>
      </c>
    </row>
    <row r="32" spans="1:38" s="169" customFormat="1" ht="10.5" customHeight="1" x14ac:dyDescent="0.25">
      <c r="A32" s="118">
        <v>23</v>
      </c>
      <c r="B32" s="119" t="s">
        <v>347</v>
      </c>
      <c r="C32" s="118" t="s">
        <v>345</v>
      </c>
      <c r="D32" s="120">
        <v>1064</v>
      </c>
      <c r="E32" s="121" t="s">
        <v>330</v>
      </c>
      <c r="F32" s="122">
        <v>68.6798</v>
      </c>
      <c r="G32" s="120">
        <v>224001.19999999998</v>
      </c>
      <c r="H32" s="120">
        <v>224001.19999999998</v>
      </c>
      <c r="I32" s="120">
        <v>222715.33999999997</v>
      </c>
      <c r="J32" s="120">
        <v>1285.8599999999999</v>
      </c>
      <c r="K32" s="120">
        <v>0</v>
      </c>
      <c r="L32" s="120">
        <v>0</v>
      </c>
      <c r="M32" s="120">
        <v>223136.45999999996</v>
      </c>
      <c r="N32" s="120">
        <v>221850.59999999998</v>
      </c>
      <c r="O32" s="120">
        <v>1285.8599999999999</v>
      </c>
      <c r="P32" s="120">
        <v>0</v>
      </c>
      <c r="Q32" s="120">
        <v>0</v>
      </c>
      <c r="R32" s="120">
        <v>0</v>
      </c>
      <c r="S32" s="120">
        <v>27639.874218774436</v>
      </c>
      <c r="T32" s="120">
        <v>106.60135784529848</v>
      </c>
      <c r="U32" s="120">
        <v>27533.272860929137</v>
      </c>
      <c r="V32" s="120">
        <v>39907.231768119549</v>
      </c>
      <c r="W32" s="120">
        <v>100.89438</v>
      </c>
      <c r="X32" s="120">
        <v>39806.337388119551</v>
      </c>
      <c r="Y32" s="120">
        <v>0</v>
      </c>
      <c r="Z32" s="120">
        <v>0</v>
      </c>
      <c r="AA32" s="123">
        <v>0.21199999999999999</v>
      </c>
      <c r="AB32" s="124">
        <v>118000</v>
      </c>
      <c r="AC32" s="124">
        <v>100000</v>
      </c>
      <c r="AD32" s="124">
        <v>0</v>
      </c>
      <c r="AE32" s="186" t="s">
        <v>385</v>
      </c>
      <c r="AF32" s="125" t="s">
        <v>421</v>
      </c>
      <c r="AG32" s="126">
        <v>29.356662363474349</v>
      </c>
      <c r="AH32" s="126">
        <v>29.356662363474349</v>
      </c>
      <c r="AI32" s="126">
        <v>0</v>
      </c>
      <c r="AJ32" s="126">
        <v>0</v>
      </c>
      <c r="AK32" s="126">
        <v>0</v>
      </c>
      <c r="AL32" s="126">
        <v>0</v>
      </c>
    </row>
    <row r="33" spans="1:38" s="169" customFormat="1" ht="10.5" customHeight="1" x14ac:dyDescent="0.25">
      <c r="A33" s="168"/>
      <c r="B33" s="115" t="s">
        <v>348</v>
      </c>
      <c r="C33" s="168"/>
      <c r="D33" s="167"/>
      <c r="E33" s="168"/>
      <c r="F33" s="168"/>
      <c r="G33" s="168"/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67"/>
      <c r="T33" s="167"/>
      <c r="U33" s="167"/>
      <c r="V33" s="167"/>
      <c r="W33" s="167"/>
      <c r="X33" s="167"/>
      <c r="Y33" s="167"/>
      <c r="Z33" s="167"/>
      <c r="AA33" s="167"/>
      <c r="AB33" s="116"/>
      <c r="AC33" s="116"/>
      <c r="AD33" s="116"/>
      <c r="AE33" s="187"/>
      <c r="AF33" s="167"/>
      <c r="AG33" s="167"/>
      <c r="AH33" s="167"/>
      <c r="AI33" s="117"/>
      <c r="AJ33" s="117"/>
      <c r="AK33" s="117"/>
      <c r="AL33" s="117"/>
    </row>
    <row r="34" spans="1:38" s="169" customFormat="1" ht="10.5" customHeight="1" x14ac:dyDescent="0.25">
      <c r="A34" s="118">
        <v>24</v>
      </c>
      <c r="B34" s="119" t="s">
        <v>450</v>
      </c>
      <c r="C34" s="118" t="s">
        <v>344</v>
      </c>
      <c r="D34" s="120">
        <v>1100</v>
      </c>
      <c r="E34" s="121" t="s">
        <v>330</v>
      </c>
      <c r="F34" s="122">
        <v>11.652799999999999</v>
      </c>
      <c r="G34" s="120">
        <v>218542</v>
      </c>
      <c r="H34" s="120">
        <v>109271</v>
      </c>
      <c r="I34" s="120">
        <v>79247</v>
      </c>
      <c r="J34" s="120">
        <v>5754</v>
      </c>
      <c r="K34" s="120">
        <v>0</v>
      </c>
      <c r="L34" s="120">
        <v>809</v>
      </c>
      <c r="M34" s="120">
        <v>82334.569999999978</v>
      </c>
      <c r="N34" s="120">
        <v>60622.079999999987</v>
      </c>
      <c r="O34" s="120">
        <v>3682.49</v>
      </c>
      <c r="P34" s="120">
        <v>0</v>
      </c>
      <c r="Q34" s="120">
        <v>601</v>
      </c>
      <c r="R34" s="120">
        <v>18030</v>
      </c>
      <c r="S34" s="120">
        <v>7747.6148555168502</v>
      </c>
      <c r="T34" s="120">
        <v>2173.3739753305399</v>
      </c>
      <c r="U34" s="120">
        <v>5574.2408801863103</v>
      </c>
      <c r="V34" s="120">
        <v>11643.983097244962</v>
      </c>
      <c r="W34" s="120" t="s">
        <v>32</v>
      </c>
      <c r="X34" s="120">
        <v>11643.983097244962</v>
      </c>
      <c r="Y34" s="120" t="s">
        <v>32</v>
      </c>
      <c r="Z34" s="120">
        <v>2363.7532704055357</v>
      </c>
      <c r="AA34" s="123">
        <v>0.21199999999999999</v>
      </c>
      <c r="AB34" s="124">
        <v>120000</v>
      </c>
      <c r="AC34" s="124">
        <v>150000</v>
      </c>
      <c r="AD34" s="124">
        <v>330000</v>
      </c>
      <c r="AE34" s="186" t="s">
        <v>385</v>
      </c>
      <c r="AF34" s="125" t="s">
        <v>422</v>
      </c>
      <c r="AG34" s="126" t="s">
        <v>32</v>
      </c>
      <c r="AH34" s="126" t="s">
        <v>32</v>
      </c>
      <c r="AI34" s="126" t="s">
        <v>32</v>
      </c>
      <c r="AJ34" s="126" t="s">
        <v>32</v>
      </c>
      <c r="AK34" s="126" t="s">
        <v>32</v>
      </c>
      <c r="AL34" s="126" t="s">
        <v>32</v>
      </c>
    </row>
    <row r="35" spans="1:38" s="169" customFormat="1" ht="10.5" customHeight="1" x14ac:dyDescent="0.25">
      <c r="A35" s="118">
        <v>25</v>
      </c>
      <c r="B35" s="119" t="s">
        <v>349</v>
      </c>
      <c r="C35" s="118" t="s">
        <v>344</v>
      </c>
      <c r="D35" s="120">
        <v>1037</v>
      </c>
      <c r="E35" s="121" t="s">
        <v>330</v>
      </c>
      <c r="F35" s="122">
        <v>37.700000000000003</v>
      </c>
      <c r="G35" s="120">
        <v>58092.3</v>
      </c>
      <c r="H35" s="120">
        <v>58092.3</v>
      </c>
      <c r="I35" s="120">
        <v>45159.8</v>
      </c>
      <c r="J35" s="120">
        <v>3350</v>
      </c>
      <c r="K35" s="120">
        <v>0</v>
      </c>
      <c r="L35" s="120">
        <v>722</v>
      </c>
      <c r="M35" s="120">
        <v>11532.399999999998</v>
      </c>
      <c r="N35" s="120">
        <v>708.29999999999836</v>
      </c>
      <c r="O35" s="120">
        <v>564.09999999999991</v>
      </c>
      <c r="P35" s="120">
        <v>0</v>
      </c>
      <c r="Q35" s="120">
        <v>342</v>
      </c>
      <c r="R35" s="120">
        <v>10260</v>
      </c>
      <c r="S35" s="120">
        <v>4630.2402356077637</v>
      </c>
      <c r="T35" s="120">
        <v>3578.4058137190259</v>
      </c>
      <c r="U35" s="120">
        <v>1051.8344218887378</v>
      </c>
      <c r="V35" s="120">
        <v>4649.9258163792001</v>
      </c>
      <c r="W35" s="120">
        <v>421.76155827999997</v>
      </c>
      <c r="X35" s="120">
        <v>540.23950988920024</v>
      </c>
      <c r="Y35" s="120">
        <v>3687.92474821</v>
      </c>
      <c r="Z35" s="120">
        <v>2359.6567976700003</v>
      </c>
      <c r="AA35" s="123">
        <v>0.21199999999999999</v>
      </c>
      <c r="AB35" s="124">
        <v>162000</v>
      </c>
      <c r="AC35" s="124">
        <v>248000</v>
      </c>
      <c r="AD35" s="124">
        <v>690000</v>
      </c>
      <c r="AE35" s="186" t="s">
        <v>385</v>
      </c>
      <c r="AF35" s="118">
        <v>2025</v>
      </c>
      <c r="AG35" s="126">
        <v>409.60267618169672</v>
      </c>
      <c r="AH35" s="126">
        <v>409.60267618169672</v>
      </c>
      <c r="AI35" s="126">
        <v>0</v>
      </c>
      <c r="AJ35" s="126">
        <v>0</v>
      </c>
      <c r="AK35" s="126">
        <v>0</v>
      </c>
      <c r="AL35" s="126">
        <v>0</v>
      </c>
    </row>
    <row r="36" spans="1:38" s="169" customFormat="1" ht="10.5" customHeight="1" x14ac:dyDescent="0.25">
      <c r="A36" s="168"/>
      <c r="B36" s="115" t="s">
        <v>350</v>
      </c>
      <c r="C36" s="168"/>
      <c r="D36" s="167"/>
      <c r="E36" s="168"/>
      <c r="F36" s="168"/>
      <c r="G36" s="168"/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67"/>
      <c r="T36" s="167"/>
      <c r="U36" s="167"/>
      <c r="V36" s="167"/>
      <c r="W36" s="167"/>
      <c r="X36" s="167"/>
      <c r="Y36" s="167"/>
      <c r="Z36" s="167"/>
      <c r="AA36" s="167"/>
      <c r="AB36" s="116"/>
      <c r="AC36" s="116"/>
      <c r="AD36" s="116"/>
      <c r="AE36" s="187"/>
      <c r="AF36" s="167"/>
      <c r="AG36" s="167"/>
      <c r="AH36" s="167"/>
      <c r="AI36" s="117"/>
      <c r="AJ36" s="117"/>
      <c r="AK36" s="117"/>
      <c r="AL36" s="117"/>
    </row>
    <row r="37" spans="1:38" s="169" customFormat="1" ht="10.5" customHeight="1" x14ac:dyDescent="0.25">
      <c r="A37" s="118">
        <v>26</v>
      </c>
      <c r="B37" s="119" t="s">
        <v>351</v>
      </c>
      <c r="C37" s="118" t="s">
        <v>391</v>
      </c>
      <c r="D37" s="120">
        <v>4867</v>
      </c>
      <c r="E37" s="121" t="s">
        <v>330</v>
      </c>
      <c r="F37" s="122">
        <v>43.8</v>
      </c>
      <c r="G37" s="120">
        <v>60317.36</v>
      </c>
      <c r="H37" s="120">
        <v>56062.36</v>
      </c>
      <c r="I37" s="120">
        <v>45059.159999999996</v>
      </c>
      <c r="J37" s="120">
        <v>3356.3500000000004</v>
      </c>
      <c r="K37" s="120">
        <v>0</v>
      </c>
      <c r="L37" s="120">
        <v>530</v>
      </c>
      <c r="M37" s="120">
        <v>30248.129999999997</v>
      </c>
      <c r="N37" s="120">
        <v>20177.28</v>
      </c>
      <c r="O37" s="120">
        <v>2010.85</v>
      </c>
      <c r="P37" s="120">
        <v>0</v>
      </c>
      <c r="Q37" s="120">
        <v>491</v>
      </c>
      <c r="R37" s="120">
        <v>8060</v>
      </c>
      <c r="S37" s="120">
        <v>8754.7039777679056</v>
      </c>
      <c r="T37" s="120">
        <v>2045.236930464047</v>
      </c>
      <c r="U37" s="120">
        <v>6709.4670473038586</v>
      </c>
      <c r="V37" s="120">
        <v>15304.486353405273</v>
      </c>
      <c r="W37" s="120">
        <v>3142.41059387</v>
      </c>
      <c r="X37" s="120">
        <v>8344.6621384052742</v>
      </c>
      <c r="Y37" s="120">
        <v>3817.4136211300001</v>
      </c>
      <c r="Z37" s="120">
        <v>2500.1625213800003</v>
      </c>
      <c r="AA37" s="123">
        <v>0.21199999999999999</v>
      </c>
      <c r="AB37" s="124">
        <v>306000</v>
      </c>
      <c r="AC37" s="124">
        <v>325000</v>
      </c>
      <c r="AD37" s="124">
        <v>1800000</v>
      </c>
      <c r="AE37" s="186" t="s">
        <v>385</v>
      </c>
      <c r="AF37" s="125" t="s">
        <v>423</v>
      </c>
      <c r="AG37" s="126">
        <v>392.851</v>
      </c>
      <c r="AH37" s="126">
        <v>392.851</v>
      </c>
      <c r="AI37" s="126">
        <v>0</v>
      </c>
      <c r="AJ37" s="126">
        <v>0</v>
      </c>
      <c r="AK37" s="126">
        <v>0</v>
      </c>
      <c r="AL37" s="126">
        <v>0</v>
      </c>
    </row>
    <row r="38" spans="1:38" s="169" customFormat="1" ht="10.5" customHeight="1" x14ac:dyDescent="0.25">
      <c r="A38" s="118">
        <v>27</v>
      </c>
      <c r="B38" s="119" t="s">
        <v>392</v>
      </c>
      <c r="C38" s="118" t="s">
        <v>391</v>
      </c>
      <c r="D38" s="120">
        <v>2154</v>
      </c>
      <c r="E38" s="121" t="s">
        <v>330</v>
      </c>
      <c r="F38" s="122">
        <v>1.7291000000000001</v>
      </c>
      <c r="G38" s="120">
        <v>30808.84</v>
      </c>
      <c r="H38" s="120">
        <v>30768.04</v>
      </c>
      <c r="I38" s="120">
        <v>21656.1</v>
      </c>
      <c r="J38" s="120">
        <v>4910.66</v>
      </c>
      <c r="K38" s="120">
        <v>0</v>
      </c>
      <c r="L38" s="120">
        <v>310</v>
      </c>
      <c r="M38" s="120">
        <v>8494.59</v>
      </c>
      <c r="N38" s="120">
        <v>2074.1899999999996</v>
      </c>
      <c r="O38" s="120">
        <v>2010.4</v>
      </c>
      <c r="P38" s="120">
        <v>0</v>
      </c>
      <c r="Q38" s="120">
        <v>147</v>
      </c>
      <c r="R38" s="120">
        <v>4410</v>
      </c>
      <c r="S38" s="120">
        <v>3235.3946453061071</v>
      </c>
      <c r="T38" s="120">
        <v>1878.3955148205478</v>
      </c>
      <c r="U38" s="120">
        <v>1356.9991304855594</v>
      </c>
      <c r="V38" s="120">
        <v>5169.5935460296796</v>
      </c>
      <c r="W38" s="120">
        <v>1772.31159452</v>
      </c>
      <c r="X38" s="120">
        <v>2145.0108780296796</v>
      </c>
      <c r="Y38" s="120">
        <v>1252.27107348</v>
      </c>
      <c r="Z38" s="120">
        <v>787.89685284999996</v>
      </c>
      <c r="AA38" s="123">
        <v>0.21199999999999999</v>
      </c>
      <c r="AB38" s="124">
        <v>350000</v>
      </c>
      <c r="AC38" s="124">
        <v>450000</v>
      </c>
      <c r="AD38" s="124">
        <v>2300000</v>
      </c>
      <c r="AE38" s="186" t="s">
        <v>385</v>
      </c>
      <c r="AF38" s="125" t="s">
        <v>23</v>
      </c>
      <c r="AG38" s="126">
        <v>281.0508145442966</v>
      </c>
      <c r="AH38" s="126">
        <v>248.0508145442966</v>
      </c>
      <c r="AI38" s="126">
        <v>33</v>
      </c>
      <c r="AJ38" s="126">
        <v>0</v>
      </c>
      <c r="AK38" s="126">
        <v>29.975237304901338</v>
      </c>
      <c r="AL38" s="126">
        <v>0</v>
      </c>
    </row>
    <row r="39" spans="1:38" s="169" customFormat="1" ht="10.5" customHeight="1" x14ac:dyDescent="0.25">
      <c r="A39" s="128"/>
      <c r="B39" s="151" t="s">
        <v>451</v>
      </c>
      <c r="C39" s="128"/>
      <c r="D39" s="130">
        <v>68050</v>
      </c>
      <c r="E39" s="130"/>
      <c r="F39" s="130"/>
      <c r="G39" s="130">
        <v>4209601.6700000009</v>
      </c>
      <c r="H39" s="130">
        <v>3821912.7206965024</v>
      </c>
      <c r="I39" s="130">
        <v>3263566.7506965022</v>
      </c>
      <c r="J39" s="130">
        <v>227547.09000000003</v>
      </c>
      <c r="K39" s="130">
        <v>1500</v>
      </c>
      <c r="L39" s="130">
        <v>21461</v>
      </c>
      <c r="M39" s="130">
        <v>3381609.3506965013</v>
      </c>
      <c r="N39" s="130">
        <v>2849442.3906965018</v>
      </c>
      <c r="O39" s="130">
        <v>203596.81000000003</v>
      </c>
      <c r="P39" s="130">
        <v>0</v>
      </c>
      <c r="Q39" s="130">
        <v>20165</v>
      </c>
      <c r="R39" s="130">
        <v>328570.15000000002</v>
      </c>
      <c r="S39" s="130">
        <v>470185.32257280429</v>
      </c>
      <c r="T39" s="130">
        <v>40304.357175977646</v>
      </c>
      <c r="U39" s="130">
        <v>429880.96539682668</v>
      </c>
      <c r="V39" s="130">
        <v>684098.77892676275</v>
      </c>
      <c r="W39" s="130">
        <v>13335.13375194</v>
      </c>
      <c r="X39" s="130">
        <v>636387.09654737276</v>
      </c>
      <c r="Y39" s="130">
        <v>34376.54862745</v>
      </c>
      <c r="Z39" s="130">
        <v>28541.978243125537</v>
      </c>
      <c r="AA39" s="131"/>
      <c r="AB39" s="130"/>
      <c r="AC39" s="130"/>
      <c r="AD39" s="130"/>
      <c r="AE39" s="131"/>
      <c r="AF39" s="131"/>
      <c r="AG39" s="132">
        <v>13493.128337638955</v>
      </c>
      <c r="AH39" s="132">
        <v>12362.604362150028</v>
      </c>
      <c r="AI39" s="132">
        <v>1130.5239754889262</v>
      </c>
      <c r="AJ39" s="132">
        <v>0</v>
      </c>
      <c r="AK39" s="132">
        <v>367.83640669273859</v>
      </c>
      <c r="AL39" s="132">
        <v>0</v>
      </c>
    </row>
    <row r="40" spans="1:38" s="169" customFormat="1" ht="10.5" customHeight="1" x14ac:dyDescent="0.25">
      <c r="A40" s="168"/>
      <c r="B40" s="115" t="s">
        <v>452</v>
      </c>
      <c r="C40" s="168"/>
      <c r="D40" s="167"/>
      <c r="E40" s="168"/>
      <c r="F40" s="168"/>
      <c r="G40" s="168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67"/>
      <c r="T40" s="167"/>
      <c r="U40" s="167"/>
      <c r="V40" s="167"/>
      <c r="W40" s="167"/>
      <c r="X40" s="167"/>
      <c r="Y40" s="167"/>
      <c r="Z40" s="167"/>
      <c r="AA40" s="167"/>
      <c r="AB40" s="116"/>
      <c r="AC40" s="116"/>
      <c r="AD40" s="116"/>
      <c r="AE40" s="187"/>
      <c r="AF40" s="167"/>
      <c r="AG40" s="167"/>
      <c r="AH40" s="167"/>
      <c r="AI40" s="117"/>
      <c r="AJ40" s="117"/>
      <c r="AK40" s="117"/>
      <c r="AL40" s="117"/>
    </row>
    <row r="41" spans="1:38" s="169" customFormat="1" ht="10.5" customHeight="1" x14ac:dyDescent="0.25">
      <c r="A41" s="118">
        <v>28</v>
      </c>
      <c r="B41" s="119" t="s">
        <v>327</v>
      </c>
      <c r="C41" s="118" t="s">
        <v>135</v>
      </c>
      <c r="D41" s="120">
        <v>3142</v>
      </c>
      <c r="E41" s="121" t="s">
        <v>330</v>
      </c>
      <c r="F41" s="122">
        <v>7.7</v>
      </c>
      <c r="G41" s="120">
        <v>189032.59999999998</v>
      </c>
      <c r="H41" s="120">
        <v>189032.59999999998</v>
      </c>
      <c r="I41" s="120">
        <v>136426.9</v>
      </c>
      <c r="J41" s="120">
        <v>26369.4</v>
      </c>
      <c r="K41" s="120">
        <v>0</v>
      </c>
      <c r="L41" s="120">
        <v>1953</v>
      </c>
      <c r="M41" s="120">
        <v>15810.8</v>
      </c>
      <c r="N41" s="120">
        <v>0</v>
      </c>
      <c r="O41" s="120">
        <v>14340.8</v>
      </c>
      <c r="P41" s="120">
        <v>0</v>
      </c>
      <c r="Q41" s="120">
        <v>49</v>
      </c>
      <c r="R41" s="120">
        <v>1470</v>
      </c>
      <c r="S41" s="120">
        <v>20765.890386752832</v>
      </c>
      <c r="T41" s="120">
        <v>20407.710928462831</v>
      </c>
      <c r="U41" s="120">
        <v>358.17945828999984</v>
      </c>
      <c r="V41" s="120">
        <v>4239.8496828200005</v>
      </c>
      <c r="W41" s="120">
        <v>1382.6095928199998</v>
      </c>
      <c r="X41" s="120">
        <v>2857.2400900000007</v>
      </c>
      <c r="Y41" s="120">
        <v>0</v>
      </c>
      <c r="Z41" s="120">
        <v>0</v>
      </c>
      <c r="AA41" s="123">
        <v>0.188</v>
      </c>
      <c r="AB41" s="124">
        <v>0</v>
      </c>
      <c r="AC41" s="124">
        <v>220000</v>
      </c>
      <c r="AD41" s="124">
        <v>1750000</v>
      </c>
      <c r="AE41" s="186" t="s">
        <v>387</v>
      </c>
      <c r="AF41" s="125" t="s">
        <v>424</v>
      </c>
      <c r="AG41" s="126">
        <v>6349.9172447844721</v>
      </c>
      <c r="AH41" s="126">
        <v>6349.9172447844721</v>
      </c>
      <c r="AI41" s="126">
        <v>0</v>
      </c>
      <c r="AJ41" s="126">
        <v>0</v>
      </c>
      <c r="AK41" s="126">
        <v>0</v>
      </c>
      <c r="AL41" s="126">
        <v>0</v>
      </c>
    </row>
    <row r="42" spans="1:38" s="169" customFormat="1" ht="10.5" customHeight="1" x14ac:dyDescent="0.25">
      <c r="A42" s="118">
        <v>29</v>
      </c>
      <c r="B42" s="119" t="s">
        <v>453</v>
      </c>
      <c r="C42" s="118" t="s">
        <v>328</v>
      </c>
      <c r="D42" s="120">
        <v>1323</v>
      </c>
      <c r="E42" s="121" t="s">
        <v>329</v>
      </c>
      <c r="F42" s="122">
        <v>2.8117000000000001</v>
      </c>
      <c r="G42" s="120">
        <v>46935.759999999995</v>
      </c>
      <c r="H42" s="120">
        <v>46935.759999999995</v>
      </c>
      <c r="I42" s="120">
        <v>31833.260000000002</v>
      </c>
      <c r="J42" s="120">
        <v>3102.5</v>
      </c>
      <c r="K42" s="120">
        <v>0</v>
      </c>
      <c r="L42" s="120">
        <v>400</v>
      </c>
      <c r="M42" s="120">
        <v>8981.2000000000007</v>
      </c>
      <c r="N42" s="120">
        <v>5440.5</v>
      </c>
      <c r="O42" s="120">
        <v>1020.7</v>
      </c>
      <c r="P42" s="120">
        <v>0</v>
      </c>
      <c r="Q42" s="120">
        <v>84</v>
      </c>
      <c r="R42" s="120">
        <v>2520</v>
      </c>
      <c r="S42" s="120">
        <v>2964.9687834799001</v>
      </c>
      <c r="T42" s="120">
        <v>2838.6715816995666</v>
      </c>
      <c r="U42" s="120">
        <v>126.29720178033332</v>
      </c>
      <c r="V42" s="120">
        <v>1611.6379596866668</v>
      </c>
      <c r="W42" s="120">
        <v>367.11670351999999</v>
      </c>
      <c r="X42" s="120">
        <v>1244.5212561666667</v>
      </c>
      <c r="Y42" s="120">
        <v>0</v>
      </c>
      <c r="Z42" s="120">
        <v>0</v>
      </c>
      <c r="AA42" s="123">
        <v>0.188</v>
      </c>
      <c r="AB42" s="124">
        <v>200000</v>
      </c>
      <c r="AC42" s="124">
        <v>79000</v>
      </c>
      <c r="AD42" s="124">
        <v>250000</v>
      </c>
      <c r="AE42" s="186" t="s">
        <v>387</v>
      </c>
      <c r="AF42" s="125" t="s">
        <v>425</v>
      </c>
      <c r="AG42" s="126">
        <v>146.78194543983997</v>
      </c>
      <c r="AH42" s="126">
        <v>146.78194543983997</v>
      </c>
      <c r="AI42" s="126">
        <v>0</v>
      </c>
      <c r="AJ42" s="126">
        <v>0</v>
      </c>
      <c r="AK42" s="126">
        <v>0</v>
      </c>
      <c r="AL42" s="126">
        <v>0</v>
      </c>
    </row>
    <row r="43" spans="1:38" s="169" customFormat="1" ht="10.5" customHeight="1" x14ac:dyDescent="0.25">
      <c r="A43" s="118">
        <v>30</v>
      </c>
      <c r="B43" s="119" t="s">
        <v>352</v>
      </c>
      <c r="C43" s="118" t="s">
        <v>135</v>
      </c>
      <c r="D43" s="120">
        <v>343</v>
      </c>
      <c r="E43" s="121" t="s">
        <v>329</v>
      </c>
      <c r="F43" s="122">
        <v>14.9</v>
      </c>
      <c r="G43" s="120">
        <v>297936.40000000002</v>
      </c>
      <c r="H43" s="120">
        <v>257556.2</v>
      </c>
      <c r="I43" s="120">
        <v>202412.80000000002</v>
      </c>
      <c r="J43" s="120">
        <v>18978.400000000001</v>
      </c>
      <c r="K43" s="120">
        <v>0</v>
      </c>
      <c r="L43" s="120">
        <v>2236</v>
      </c>
      <c r="M43" s="120">
        <v>446.7</v>
      </c>
      <c r="N43" s="120">
        <v>0</v>
      </c>
      <c r="O43" s="120">
        <v>416.7</v>
      </c>
      <c r="P43" s="120">
        <v>0</v>
      </c>
      <c r="Q43" s="120">
        <v>1</v>
      </c>
      <c r="R43" s="120">
        <v>30</v>
      </c>
      <c r="S43" s="120">
        <v>0</v>
      </c>
      <c r="T43" s="120">
        <v>0</v>
      </c>
      <c r="U43" s="120">
        <v>0</v>
      </c>
      <c r="V43" s="120">
        <v>499.44220576333333</v>
      </c>
      <c r="W43" s="120">
        <v>413.91965743000003</v>
      </c>
      <c r="X43" s="120">
        <v>85.522548333333305</v>
      </c>
      <c r="Y43" s="120">
        <v>0</v>
      </c>
      <c r="Z43" s="120">
        <v>0</v>
      </c>
      <c r="AA43" s="123">
        <v>0.188</v>
      </c>
      <c r="AB43" s="124">
        <v>0</v>
      </c>
      <c r="AC43" s="124">
        <v>230000</v>
      </c>
      <c r="AD43" s="124">
        <v>1160000</v>
      </c>
      <c r="AE43" s="186" t="s">
        <v>387</v>
      </c>
      <c r="AF43" s="125" t="s">
        <v>25</v>
      </c>
      <c r="AG43" s="126">
        <v>0</v>
      </c>
      <c r="AH43" s="126">
        <v>0</v>
      </c>
      <c r="AI43" s="126">
        <v>0</v>
      </c>
      <c r="AJ43" s="126">
        <v>0</v>
      </c>
      <c r="AK43" s="126">
        <v>0</v>
      </c>
      <c r="AL43" s="126">
        <v>0</v>
      </c>
    </row>
    <row r="44" spans="1:38" s="169" customFormat="1" ht="10.5" customHeight="1" x14ac:dyDescent="0.25">
      <c r="A44" s="118">
        <v>31</v>
      </c>
      <c r="B44" s="119" t="s">
        <v>356</v>
      </c>
      <c r="C44" s="118" t="s">
        <v>135</v>
      </c>
      <c r="D44" s="120">
        <v>262</v>
      </c>
      <c r="E44" s="121" t="s">
        <v>329</v>
      </c>
      <c r="F44" s="122" t="s">
        <v>5</v>
      </c>
      <c r="G44" s="120">
        <v>13440</v>
      </c>
      <c r="H44" s="120">
        <v>13440</v>
      </c>
      <c r="I44" s="120">
        <v>0</v>
      </c>
      <c r="J44" s="120">
        <v>0</v>
      </c>
      <c r="K44" s="120">
        <v>0</v>
      </c>
      <c r="L44" s="120">
        <v>448</v>
      </c>
      <c r="M44" s="120">
        <v>8010</v>
      </c>
      <c r="N44" s="120">
        <v>0</v>
      </c>
      <c r="O44" s="120">
        <v>0</v>
      </c>
      <c r="P44" s="120">
        <v>0</v>
      </c>
      <c r="Q44" s="120">
        <v>267</v>
      </c>
      <c r="R44" s="120">
        <v>8010</v>
      </c>
      <c r="S44" s="120">
        <v>0</v>
      </c>
      <c r="T44" s="120">
        <v>0</v>
      </c>
      <c r="U44" s="120">
        <v>0</v>
      </c>
      <c r="V44" s="120">
        <v>356.92572600000005</v>
      </c>
      <c r="W44" s="120">
        <v>116.13815100000001</v>
      </c>
      <c r="X44" s="120">
        <v>240.78757500000006</v>
      </c>
      <c r="Y44" s="120">
        <v>0</v>
      </c>
      <c r="Z44" s="120">
        <v>0</v>
      </c>
      <c r="AA44" s="123">
        <v>0.188</v>
      </c>
      <c r="AB44" s="124">
        <v>0</v>
      </c>
      <c r="AC44" s="124">
        <v>0</v>
      </c>
      <c r="AD44" s="124">
        <v>1000000</v>
      </c>
      <c r="AE44" s="186" t="s">
        <v>387</v>
      </c>
      <c r="AF44" s="125" t="s">
        <v>5</v>
      </c>
      <c r="AG44" s="126">
        <v>0</v>
      </c>
      <c r="AH44" s="126">
        <v>0</v>
      </c>
      <c r="AI44" s="126">
        <v>0</v>
      </c>
      <c r="AJ44" s="126">
        <v>0</v>
      </c>
      <c r="AK44" s="126">
        <v>0</v>
      </c>
      <c r="AL44" s="126">
        <v>0</v>
      </c>
    </row>
    <row r="45" spans="1:38" s="169" customFormat="1" ht="10.5" customHeight="1" x14ac:dyDescent="0.25">
      <c r="A45" s="118">
        <v>32</v>
      </c>
      <c r="B45" s="119" t="s">
        <v>454</v>
      </c>
      <c r="C45" s="118" t="s">
        <v>135</v>
      </c>
      <c r="D45" s="120">
        <v>162</v>
      </c>
      <c r="E45" s="121" t="s">
        <v>329</v>
      </c>
      <c r="F45" s="122">
        <v>2.5529999999999999</v>
      </c>
      <c r="G45" s="120">
        <v>37572.6</v>
      </c>
      <c r="H45" s="120">
        <v>37572.6</v>
      </c>
      <c r="I45" s="120">
        <v>22731.9</v>
      </c>
      <c r="J45" s="120">
        <v>2854.1</v>
      </c>
      <c r="K45" s="120">
        <v>0</v>
      </c>
      <c r="L45" s="120">
        <v>900</v>
      </c>
      <c r="M45" s="120">
        <v>8850</v>
      </c>
      <c r="N45" s="120">
        <v>0</v>
      </c>
      <c r="O45" s="120">
        <v>0</v>
      </c>
      <c r="P45" s="120">
        <v>0</v>
      </c>
      <c r="Q45" s="120">
        <v>295</v>
      </c>
      <c r="R45" s="120">
        <v>8850</v>
      </c>
      <c r="S45" s="120">
        <v>1473.8882430149997</v>
      </c>
      <c r="T45" s="120">
        <v>1473.8882430149997</v>
      </c>
      <c r="U45" s="120">
        <v>0</v>
      </c>
      <c r="V45" s="120">
        <v>207.44911263</v>
      </c>
      <c r="W45" s="120">
        <v>39.686554420000007</v>
      </c>
      <c r="X45" s="120">
        <v>167.76255821000001</v>
      </c>
      <c r="Y45" s="120">
        <v>0</v>
      </c>
      <c r="Z45" s="120">
        <v>0</v>
      </c>
      <c r="AA45" s="123">
        <v>0.188</v>
      </c>
      <c r="AB45" s="124">
        <v>0</v>
      </c>
      <c r="AC45" s="124">
        <v>0</v>
      </c>
      <c r="AD45" s="124">
        <v>520000</v>
      </c>
      <c r="AE45" s="186" t="s">
        <v>387</v>
      </c>
      <c r="AF45" s="125" t="s">
        <v>27</v>
      </c>
      <c r="AG45" s="126">
        <v>130.99449678000002</v>
      </c>
      <c r="AH45" s="126">
        <v>130.99449678000002</v>
      </c>
      <c r="AI45" s="126">
        <v>0</v>
      </c>
      <c r="AJ45" s="126">
        <v>0</v>
      </c>
      <c r="AK45" s="126">
        <v>0</v>
      </c>
      <c r="AL45" s="126">
        <v>0</v>
      </c>
    </row>
    <row r="46" spans="1:38" s="169" customFormat="1" x14ac:dyDescent="0.25">
      <c r="A46" s="118">
        <v>33</v>
      </c>
      <c r="B46" s="119" t="s">
        <v>355</v>
      </c>
      <c r="C46" s="118" t="s">
        <v>135</v>
      </c>
      <c r="D46" s="120">
        <v>60</v>
      </c>
      <c r="E46" s="121" t="s">
        <v>329</v>
      </c>
      <c r="F46" s="122">
        <v>0.4</v>
      </c>
      <c r="G46" s="120">
        <v>8636.7999999999993</v>
      </c>
      <c r="H46" s="120">
        <v>8636.7999999999993</v>
      </c>
      <c r="I46" s="120">
        <v>6173.5</v>
      </c>
      <c r="J46" s="120">
        <v>994.9</v>
      </c>
      <c r="K46" s="120">
        <v>0</v>
      </c>
      <c r="L46" s="120">
        <v>92</v>
      </c>
      <c r="M46" s="120">
        <v>298.8</v>
      </c>
      <c r="N46" s="120">
        <v>0</v>
      </c>
      <c r="O46" s="120">
        <v>298.8</v>
      </c>
      <c r="P46" s="120">
        <v>0</v>
      </c>
      <c r="Q46" s="120">
        <v>0</v>
      </c>
      <c r="R46" s="120">
        <v>0</v>
      </c>
      <c r="S46" s="120">
        <v>0</v>
      </c>
      <c r="T46" s="120">
        <v>0</v>
      </c>
      <c r="U46" s="120">
        <v>0</v>
      </c>
      <c r="V46" s="120">
        <v>68.9356382</v>
      </c>
      <c r="W46" s="120">
        <v>8.3439782000000005</v>
      </c>
      <c r="X46" s="120">
        <v>60.591659999999997</v>
      </c>
      <c r="Y46" s="120">
        <v>0</v>
      </c>
      <c r="Z46" s="120">
        <v>0</v>
      </c>
      <c r="AA46" s="123">
        <v>0.188</v>
      </c>
      <c r="AB46" s="124">
        <v>0</v>
      </c>
      <c r="AC46" s="124">
        <v>230000</v>
      </c>
      <c r="AD46" s="124">
        <v>0</v>
      </c>
      <c r="AE46" s="186" t="s">
        <v>387</v>
      </c>
      <c r="AF46" s="118">
        <v>2020</v>
      </c>
      <c r="AG46" s="126">
        <v>0</v>
      </c>
      <c r="AH46" s="126">
        <v>0</v>
      </c>
      <c r="AI46" s="126">
        <v>0</v>
      </c>
      <c r="AJ46" s="126">
        <v>0</v>
      </c>
      <c r="AK46" s="126">
        <v>0</v>
      </c>
      <c r="AL46" s="126">
        <v>0</v>
      </c>
    </row>
    <row r="47" spans="1:38" s="169" customFormat="1" ht="10.5" customHeight="1" x14ac:dyDescent="0.25">
      <c r="A47" s="118">
        <v>34</v>
      </c>
      <c r="B47" s="119" t="s">
        <v>354</v>
      </c>
      <c r="C47" s="118" t="s">
        <v>135</v>
      </c>
      <c r="D47" s="120">
        <v>0</v>
      </c>
      <c r="E47" s="121" t="s">
        <v>329</v>
      </c>
      <c r="F47" s="122">
        <v>12.9</v>
      </c>
      <c r="G47" s="120">
        <v>120713.7</v>
      </c>
      <c r="H47" s="120">
        <v>119093.7</v>
      </c>
      <c r="I47" s="120">
        <v>82326.7</v>
      </c>
      <c r="J47" s="120">
        <v>31757</v>
      </c>
      <c r="K47" s="120">
        <v>0</v>
      </c>
      <c r="L47" s="120">
        <v>750</v>
      </c>
      <c r="M47" s="120">
        <v>39729.300000000003</v>
      </c>
      <c r="N47" s="120">
        <v>0</v>
      </c>
      <c r="O47" s="120">
        <v>29709.3</v>
      </c>
      <c r="P47" s="120">
        <v>0</v>
      </c>
      <c r="Q47" s="120">
        <v>334</v>
      </c>
      <c r="R47" s="120">
        <v>10020</v>
      </c>
      <c r="S47" s="120">
        <v>3450.3678664127192</v>
      </c>
      <c r="T47" s="120">
        <v>610.17655241123248</v>
      </c>
      <c r="U47" s="120">
        <v>2840.1913140014867</v>
      </c>
      <c r="V47" s="120">
        <v>2295.3084487299998</v>
      </c>
      <c r="W47" s="120">
        <v>0</v>
      </c>
      <c r="X47" s="120">
        <v>2295.3084487299998</v>
      </c>
      <c r="Y47" s="120">
        <v>0</v>
      </c>
      <c r="Z47" s="120">
        <v>0</v>
      </c>
      <c r="AA47" s="123">
        <v>0.188</v>
      </c>
      <c r="AB47" s="124">
        <v>0</v>
      </c>
      <c r="AC47" s="124">
        <v>61600</v>
      </c>
      <c r="AD47" s="124">
        <v>2200000</v>
      </c>
      <c r="AE47" s="186" t="s">
        <v>387</v>
      </c>
      <c r="AF47" s="125" t="s">
        <v>26</v>
      </c>
      <c r="AG47" s="126">
        <v>1.3696667088625001</v>
      </c>
      <c r="AH47" s="126">
        <v>0.62431631177500002</v>
      </c>
      <c r="AI47" s="126">
        <v>0.74535039708750006</v>
      </c>
      <c r="AJ47" s="126">
        <v>0</v>
      </c>
      <c r="AK47" s="126">
        <v>0.67304084937608577</v>
      </c>
      <c r="AL47" s="126">
        <v>0</v>
      </c>
    </row>
    <row r="48" spans="1:38" s="169" customFormat="1" ht="31.5" x14ac:dyDescent="0.25">
      <c r="A48" s="118">
        <v>35</v>
      </c>
      <c r="B48" s="119" t="s">
        <v>353</v>
      </c>
      <c r="C48" s="118" t="s">
        <v>135</v>
      </c>
      <c r="D48" s="120">
        <v>0</v>
      </c>
      <c r="E48" s="121" t="s">
        <v>467</v>
      </c>
      <c r="F48" s="122">
        <v>67</v>
      </c>
      <c r="G48" s="120">
        <v>384235.02</v>
      </c>
      <c r="H48" s="120">
        <v>369379.22000000003</v>
      </c>
      <c r="I48" s="120">
        <v>345200.82</v>
      </c>
      <c r="J48" s="120">
        <v>16474.099999999999</v>
      </c>
      <c r="K48" s="120">
        <v>0</v>
      </c>
      <c r="L48" s="120">
        <v>449</v>
      </c>
      <c r="M48" s="120">
        <v>3204</v>
      </c>
      <c r="N48" s="120">
        <v>1508.8999999999999</v>
      </c>
      <c r="O48" s="120">
        <v>1455.1000000000001</v>
      </c>
      <c r="P48" s="120">
        <v>0</v>
      </c>
      <c r="Q48" s="120">
        <v>8</v>
      </c>
      <c r="R48" s="120">
        <v>240</v>
      </c>
      <c r="S48" s="120">
        <v>2086.3251354370886</v>
      </c>
      <c r="T48" s="120">
        <v>1050.1902561265879</v>
      </c>
      <c r="U48" s="120">
        <v>1036.1348793105008</v>
      </c>
      <c r="V48" s="120">
        <v>800.90966515666696</v>
      </c>
      <c r="W48" s="120">
        <v>218.15698768999999</v>
      </c>
      <c r="X48" s="120">
        <v>582.75267746666691</v>
      </c>
      <c r="Y48" s="120">
        <v>0</v>
      </c>
      <c r="Z48" s="120">
        <v>0</v>
      </c>
      <c r="AA48" s="123">
        <v>0.188</v>
      </c>
      <c r="AB48" s="124">
        <v>184000</v>
      </c>
      <c r="AC48" s="124">
        <v>220000</v>
      </c>
      <c r="AD48" s="124">
        <v>960000</v>
      </c>
      <c r="AE48" s="186" t="s">
        <v>387</v>
      </c>
      <c r="AF48" s="125" t="s">
        <v>15</v>
      </c>
      <c r="AG48" s="126">
        <v>3.4804714500000005</v>
      </c>
      <c r="AH48" s="126">
        <v>2.1824267700000002</v>
      </c>
      <c r="AI48" s="126">
        <v>1.2980446800000003</v>
      </c>
      <c r="AJ48" s="126">
        <v>0</v>
      </c>
      <c r="AK48" s="126">
        <v>1.1909167984958682</v>
      </c>
      <c r="AL48" s="126">
        <v>0</v>
      </c>
    </row>
    <row r="49" spans="1:38" s="169" customFormat="1" ht="10.5" customHeight="1" x14ac:dyDescent="0.25">
      <c r="A49" s="128"/>
      <c r="B49" s="151" t="s">
        <v>455</v>
      </c>
      <c r="C49" s="128"/>
      <c r="D49" s="130">
        <v>5292</v>
      </c>
      <c r="E49" s="128"/>
      <c r="F49" s="128"/>
      <c r="G49" s="130">
        <v>1098502.8799999999</v>
      </c>
      <c r="H49" s="130">
        <v>1041646.8800000001</v>
      </c>
      <c r="I49" s="130">
        <v>827105.88000000012</v>
      </c>
      <c r="J49" s="130">
        <v>100530.4</v>
      </c>
      <c r="K49" s="130">
        <v>0</v>
      </c>
      <c r="L49" s="130">
        <v>7228</v>
      </c>
      <c r="M49" s="130">
        <v>85330.8</v>
      </c>
      <c r="N49" s="130">
        <v>6949.4</v>
      </c>
      <c r="O49" s="130">
        <v>47241.4</v>
      </c>
      <c r="P49" s="130">
        <v>0</v>
      </c>
      <c r="Q49" s="130">
        <v>1038</v>
      </c>
      <c r="R49" s="130">
        <v>31140</v>
      </c>
      <c r="S49" s="130">
        <v>30741.440415097539</v>
      </c>
      <c r="T49" s="130">
        <v>26380.637561715223</v>
      </c>
      <c r="U49" s="130">
        <v>4360.8028533823208</v>
      </c>
      <c r="V49" s="130">
        <v>10080.458438986667</v>
      </c>
      <c r="W49" s="130">
        <v>2545.9716250799997</v>
      </c>
      <c r="X49" s="130">
        <v>7534.4868139066684</v>
      </c>
      <c r="Y49" s="130">
        <v>0</v>
      </c>
      <c r="Z49" s="130">
        <v>0</v>
      </c>
      <c r="AA49" s="131"/>
      <c r="AB49" s="130"/>
      <c r="AC49" s="130"/>
      <c r="AD49" s="130"/>
      <c r="AE49" s="131"/>
      <c r="AF49" s="131"/>
      <c r="AG49" s="132">
        <v>6632.543825163174</v>
      </c>
      <c r="AH49" s="132">
        <v>6630.5004300860874</v>
      </c>
      <c r="AI49" s="132">
        <v>2.0433950770875002</v>
      </c>
      <c r="AJ49" s="132">
        <v>0</v>
      </c>
      <c r="AK49" s="132">
        <v>1.8639576478719539</v>
      </c>
      <c r="AL49" s="132">
        <v>0</v>
      </c>
    </row>
    <row r="50" spans="1:38" s="169" customFormat="1" ht="10.5" customHeight="1" x14ac:dyDescent="0.25">
      <c r="A50" s="168"/>
      <c r="B50" s="115" t="s">
        <v>357</v>
      </c>
      <c r="C50" s="168"/>
      <c r="D50" s="167"/>
      <c r="E50" s="168"/>
      <c r="F50" s="168"/>
      <c r="G50" s="168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67"/>
      <c r="T50" s="167"/>
      <c r="U50" s="167"/>
      <c r="V50" s="167"/>
      <c r="W50" s="167"/>
      <c r="X50" s="167"/>
      <c r="Y50" s="167"/>
      <c r="Z50" s="167"/>
      <c r="AA50" s="167"/>
      <c r="AB50" s="116"/>
      <c r="AC50" s="116"/>
      <c r="AD50" s="116"/>
      <c r="AE50" s="187"/>
      <c r="AF50" s="167"/>
      <c r="AG50" s="167"/>
      <c r="AH50" s="167"/>
      <c r="AI50" s="117"/>
      <c r="AJ50" s="117"/>
      <c r="AK50" s="117"/>
      <c r="AL50" s="117"/>
    </row>
    <row r="51" spans="1:38" s="169" customFormat="1" ht="31.5" x14ac:dyDescent="0.25">
      <c r="A51" s="118">
        <v>36</v>
      </c>
      <c r="B51" s="119" t="s">
        <v>358</v>
      </c>
      <c r="C51" s="118" t="s">
        <v>136</v>
      </c>
      <c r="D51" s="120">
        <v>10501</v>
      </c>
      <c r="E51" s="121" t="s">
        <v>467</v>
      </c>
      <c r="F51" s="122">
        <v>36.299999999999997</v>
      </c>
      <c r="G51" s="120">
        <v>595196.19999999995</v>
      </c>
      <c r="H51" s="120">
        <v>532688.30000000005</v>
      </c>
      <c r="I51" s="120">
        <v>468073.6</v>
      </c>
      <c r="J51" s="120">
        <v>30590.6</v>
      </c>
      <c r="K51" s="120">
        <v>0</v>
      </c>
      <c r="L51" s="120">
        <v>2201</v>
      </c>
      <c r="M51" s="120">
        <v>37782.700000000004</v>
      </c>
      <c r="N51" s="120">
        <v>27920.800000000003</v>
      </c>
      <c r="O51" s="120">
        <v>801.89999999999986</v>
      </c>
      <c r="P51" s="120">
        <v>0</v>
      </c>
      <c r="Q51" s="120">
        <v>302</v>
      </c>
      <c r="R51" s="120">
        <v>9060</v>
      </c>
      <c r="S51" s="120">
        <v>28076.022257393499</v>
      </c>
      <c r="T51" s="120">
        <v>28030.314820486357</v>
      </c>
      <c r="U51" s="120">
        <v>45.707436907142856</v>
      </c>
      <c r="V51" s="120">
        <v>12105.827847796665</v>
      </c>
      <c r="W51" s="120">
        <v>2993.8467426299999</v>
      </c>
      <c r="X51" s="120">
        <v>9111.9811051666657</v>
      </c>
      <c r="Y51" s="120">
        <v>0</v>
      </c>
      <c r="Z51" s="120">
        <v>0</v>
      </c>
      <c r="AA51" s="123">
        <v>0.188</v>
      </c>
      <c r="AB51" s="124">
        <v>294000</v>
      </c>
      <c r="AC51" s="124">
        <v>301000</v>
      </c>
      <c r="AD51" s="124">
        <v>800000</v>
      </c>
      <c r="AE51" s="186" t="s">
        <v>387</v>
      </c>
      <c r="AF51" s="125" t="s">
        <v>16</v>
      </c>
      <c r="AG51" s="126">
        <v>11.248871339999999</v>
      </c>
      <c r="AH51" s="126">
        <v>11.248871339999999</v>
      </c>
      <c r="AI51" s="126">
        <v>0</v>
      </c>
      <c r="AJ51" s="126">
        <v>0</v>
      </c>
      <c r="AK51" s="126">
        <v>0</v>
      </c>
      <c r="AL51" s="126">
        <v>0</v>
      </c>
    </row>
    <row r="52" spans="1:38" s="169" customFormat="1" x14ac:dyDescent="0.25">
      <c r="A52" s="118">
        <v>37</v>
      </c>
      <c r="B52" s="119" t="s">
        <v>359</v>
      </c>
      <c r="C52" s="118" t="s">
        <v>136</v>
      </c>
      <c r="D52" s="120">
        <v>4375</v>
      </c>
      <c r="E52" s="121" t="s">
        <v>330</v>
      </c>
      <c r="F52" s="122">
        <v>3</v>
      </c>
      <c r="G52" s="120">
        <v>62062.1</v>
      </c>
      <c r="H52" s="120">
        <v>59118.6</v>
      </c>
      <c r="I52" s="120">
        <v>47592.2</v>
      </c>
      <c r="J52" s="120">
        <v>6200.8</v>
      </c>
      <c r="K52" s="120">
        <v>0</v>
      </c>
      <c r="L52" s="120">
        <v>395</v>
      </c>
      <c r="M52" s="120">
        <v>3731.8</v>
      </c>
      <c r="N52" s="120">
        <v>2364.5</v>
      </c>
      <c r="O52" s="120">
        <v>197.3</v>
      </c>
      <c r="P52" s="120">
        <v>0</v>
      </c>
      <c r="Q52" s="120">
        <v>39</v>
      </c>
      <c r="R52" s="120">
        <v>1170</v>
      </c>
      <c r="S52" s="120">
        <v>7099.876381680001</v>
      </c>
      <c r="T52" s="120">
        <v>7076.3355816800013</v>
      </c>
      <c r="U52" s="120">
        <v>23.540799999999997</v>
      </c>
      <c r="V52" s="120">
        <v>5496.4183606399993</v>
      </c>
      <c r="W52" s="120">
        <v>4275.2789351399997</v>
      </c>
      <c r="X52" s="120">
        <v>1221.1394254999996</v>
      </c>
      <c r="Y52" s="120">
        <v>0</v>
      </c>
      <c r="Z52" s="120">
        <v>0</v>
      </c>
      <c r="AA52" s="123">
        <v>0.188</v>
      </c>
      <c r="AB52" s="124">
        <v>413000</v>
      </c>
      <c r="AC52" s="124">
        <v>309000</v>
      </c>
      <c r="AD52" s="124">
        <v>3900000</v>
      </c>
      <c r="AE52" s="186" t="s">
        <v>387</v>
      </c>
      <c r="AF52" s="118">
        <v>2021</v>
      </c>
      <c r="AG52" s="126">
        <v>2392.6788787500009</v>
      </c>
      <c r="AH52" s="126">
        <v>2392.4129515900008</v>
      </c>
      <c r="AI52" s="126">
        <v>0.26592716000004657</v>
      </c>
      <c r="AJ52" s="126">
        <v>0</v>
      </c>
      <c r="AK52" s="126">
        <v>0.24398013943580013</v>
      </c>
      <c r="AL52" s="126">
        <v>0</v>
      </c>
    </row>
    <row r="53" spans="1:38" s="169" customFormat="1" x14ac:dyDescent="0.25">
      <c r="A53" s="118">
        <v>38</v>
      </c>
      <c r="B53" s="119" t="s">
        <v>7</v>
      </c>
      <c r="C53" s="118" t="s">
        <v>136</v>
      </c>
      <c r="D53" s="120">
        <v>3846</v>
      </c>
      <c r="E53" s="121" t="s">
        <v>330</v>
      </c>
      <c r="F53" s="122">
        <v>2.1</v>
      </c>
      <c r="G53" s="120">
        <v>39745.699999999997</v>
      </c>
      <c r="H53" s="120">
        <v>39449.5</v>
      </c>
      <c r="I53" s="120">
        <v>32707.4</v>
      </c>
      <c r="J53" s="120">
        <v>1708</v>
      </c>
      <c r="K53" s="120">
        <v>0</v>
      </c>
      <c r="L53" s="120">
        <v>374</v>
      </c>
      <c r="M53" s="120">
        <v>17433.300000000003</v>
      </c>
      <c r="N53" s="120">
        <v>9132.6</v>
      </c>
      <c r="O53" s="120">
        <v>770.7</v>
      </c>
      <c r="P53" s="120">
        <v>0</v>
      </c>
      <c r="Q53" s="120">
        <v>251</v>
      </c>
      <c r="R53" s="120">
        <v>7530</v>
      </c>
      <c r="S53" s="120">
        <v>4631.0720974919004</v>
      </c>
      <c r="T53" s="120">
        <v>4627.0039168336334</v>
      </c>
      <c r="U53" s="120">
        <v>4.0681806582666669</v>
      </c>
      <c r="V53" s="120">
        <v>4695.7615424040005</v>
      </c>
      <c r="W53" s="120">
        <v>1063.38288053</v>
      </c>
      <c r="X53" s="120">
        <v>3632.3786618740005</v>
      </c>
      <c r="Y53" s="120">
        <v>0</v>
      </c>
      <c r="Z53" s="120">
        <v>0</v>
      </c>
      <c r="AA53" s="123">
        <v>0.188</v>
      </c>
      <c r="AB53" s="124">
        <v>300000</v>
      </c>
      <c r="AC53" s="124">
        <v>347000</v>
      </c>
      <c r="AD53" s="124">
        <v>2000000</v>
      </c>
      <c r="AE53" s="186" t="s">
        <v>387</v>
      </c>
      <c r="AF53" s="118" t="s">
        <v>17</v>
      </c>
      <c r="AG53" s="126">
        <v>624.35544603000005</v>
      </c>
      <c r="AH53" s="126">
        <v>624.35544603000005</v>
      </c>
      <c r="AI53" s="126">
        <v>0</v>
      </c>
      <c r="AJ53" s="126">
        <v>0</v>
      </c>
      <c r="AK53" s="126">
        <v>0</v>
      </c>
      <c r="AL53" s="126">
        <v>0</v>
      </c>
    </row>
    <row r="54" spans="1:38" s="169" customFormat="1" hidden="1" outlineLevel="1" x14ac:dyDescent="0.25">
      <c r="A54" s="118">
        <v>0</v>
      </c>
      <c r="B54" s="119" t="s">
        <v>7</v>
      </c>
      <c r="C54" s="118" t="s">
        <v>136</v>
      </c>
      <c r="D54" s="120">
        <v>722</v>
      </c>
      <c r="E54" s="121" t="s">
        <v>330</v>
      </c>
      <c r="F54" s="122">
        <v>2.1</v>
      </c>
      <c r="G54" s="120">
        <v>23655.200000000001</v>
      </c>
      <c r="H54" s="120">
        <v>23655.200000000001</v>
      </c>
      <c r="I54" s="120">
        <v>19723.900000000001</v>
      </c>
      <c r="J54" s="120">
        <v>1002</v>
      </c>
      <c r="K54" s="120">
        <v>0</v>
      </c>
      <c r="L54" s="120">
        <v>219</v>
      </c>
      <c r="M54" s="120">
        <v>5837.7</v>
      </c>
      <c r="N54" s="120">
        <v>1755.9</v>
      </c>
      <c r="O54" s="120">
        <v>211.8</v>
      </c>
      <c r="P54" s="120">
        <v>0</v>
      </c>
      <c r="Q54" s="120">
        <v>129</v>
      </c>
      <c r="R54" s="120">
        <v>3870</v>
      </c>
      <c r="S54" s="120">
        <v>2333.6584745176133</v>
      </c>
      <c r="T54" s="120">
        <v>2333.5504745456133</v>
      </c>
      <c r="U54" s="120">
        <v>0.10799997200000462</v>
      </c>
      <c r="V54" s="120">
        <v>867.03253727399999</v>
      </c>
      <c r="W54" s="120">
        <v>0</v>
      </c>
      <c r="X54" s="120">
        <v>867.03253727399999</v>
      </c>
      <c r="Y54" s="120">
        <v>0</v>
      </c>
      <c r="Z54" s="120">
        <v>0</v>
      </c>
      <c r="AA54" s="123">
        <v>0.188</v>
      </c>
      <c r="AB54" s="124">
        <v>300000</v>
      </c>
      <c r="AC54" s="124">
        <v>347000</v>
      </c>
      <c r="AD54" s="124">
        <v>2000000</v>
      </c>
      <c r="AE54" s="186" t="s">
        <v>387</v>
      </c>
      <c r="AF54" s="118">
        <v>2022</v>
      </c>
      <c r="AG54" s="126">
        <v>605.37679005000007</v>
      </c>
      <c r="AH54" s="126">
        <v>605.37679005000007</v>
      </c>
      <c r="AI54" s="126">
        <v>0</v>
      </c>
      <c r="AJ54" s="126">
        <v>0</v>
      </c>
      <c r="AK54" s="126">
        <v>0</v>
      </c>
      <c r="AL54" s="126">
        <v>0</v>
      </c>
    </row>
    <row r="55" spans="1:38" s="169" customFormat="1" hidden="1" outlineLevel="1" x14ac:dyDescent="0.25">
      <c r="A55" s="118">
        <v>0</v>
      </c>
      <c r="B55" s="119" t="s">
        <v>426</v>
      </c>
      <c r="C55" s="118" t="s">
        <v>136</v>
      </c>
      <c r="D55" s="120">
        <v>3124</v>
      </c>
      <c r="E55" s="121" t="s">
        <v>330</v>
      </c>
      <c r="F55" s="122">
        <v>2.0825</v>
      </c>
      <c r="G55" s="120">
        <v>16090.5</v>
      </c>
      <c r="H55" s="120">
        <v>15794.3</v>
      </c>
      <c r="I55" s="120">
        <v>12983.5</v>
      </c>
      <c r="J55" s="120">
        <v>706</v>
      </c>
      <c r="K55" s="120">
        <v>0</v>
      </c>
      <c r="L55" s="120">
        <v>155</v>
      </c>
      <c r="M55" s="120">
        <v>11595.599999999999</v>
      </c>
      <c r="N55" s="120">
        <v>7376.7</v>
      </c>
      <c r="O55" s="120">
        <v>558.9</v>
      </c>
      <c r="P55" s="120">
        <v>0</v>
      </c>
      <c r="Q55" s="120">
        <v>122</v>
      </c>
      <c r="R55" s="120">
        <v>3660</v>
      </c>
      <c r="S55" s="120">
        <v>2297.4136229742871</v>
      </c>
      <c r="T55" s="120">
        <v>2293.4534422880206</v>
      </c>
      <c r="U55" s="120">
        <v>3.960180686266662</v>
      </c>
      <c r="V55" s="120">
        <v>3828.7290051300006</v>
      </c>
      <c r="W55" s="120">
        <v>1063.38288053</v>
      </c>
      <c r="X55" s="120">
        <v>2765.3461246000006</v>
      </c>
      <c r="Y55" s="120">
        <v>0</v>
      </c>
      <c r="Z55" s="120">
        <v>0</v>
      </c>
      <c r="AA55" s="123">
        <v>0.188</v>
      </c>
      <c r="AB55" s="124">
        <v>300000</v>
      </c>
      <c r="AC55" s="124">
        <v>347000</v>
      </c>
      <c r="AD55" s="124">
        <v>2000000</v>
      </c>
      <c r="AE55" s="186" t="s">
        <v>387</v>
      </c>
      <c r="AF55" s="118">
        <v>2024</v>
      </c>
      <c r="AG55" s="126">
        <v>18.978655979999999</v>
      </c>
      <c r="AH55" s="126">
        <v>18.978655979999999</v>
      </c>
      <c r="AI55" s="126">
        <v>0</v>
      </c>
      <c r="AJ55" s="126">
        <v>0</v>
      </c>
      <c r="AK55" s="126">
        <v>0</v>
      </c>
      <c r="AL55" s="126">
        <v>0</v>
      </c>
    </row>
    <row r="56" spans="1:38" s="169" customFormat="1" ht="10.5" customHeight="1" collapsed="1" x14ac:dyDescent="0.25">
      <c r="A56" s="118">
        <v>39</v>
      </c>
      <c r="B56" s="119" t="s">
        <v>333</v>
      </c>
      <c r="C56" s="118" t="s">
        <v>136</v>
      </c>
      <c r="D56" s="120">
        <v>3740</v>
      </c>
      <c r="E56" s="121" t="s">
        <v>330</v>
      </c>
      <c r="F56" s="122">
        <v>6.95</v>
      </c>
      <c r="G56" s="120">
        <v>113033.4</v>
      </c>
      <c r="H56" s="120">
        <v>108684.9</v>
      </c>
      <c r="I56" s="120">
        <v>91704.4</v>
      </c>
      <c r="J56" s="120">
        <v>3374.6</v>
      </c>
      <c r="K56" s="120">
        <v>0</v>
      </c>
      <c r="L56" s="120">
        <v>1023</v>
      </c>
      <c r="M56" s="120">
        <v>22354.7</v>
      </c>
      <c r="N56" s="120">
        <v>10651.5</v>
      </c>
      <c r="O56" s="120">
        <v>990.6</v>
      </c>
      <c r="P56" s="120">
        <v>0</v>
      </c>
      <c r="Q56" s="120">
        <v>759</v>
      </c>
      <c r="R56" s="120">
        <v>10712.6</v>
      </c>
      <c r="S56" s="120">
        <v>10628.92059070795</v>
      </c>
      <c r="T56" s="120">
        <v>9674.4176171661657</v>
      </c>
      <c r="U56" s="120">
        <v>954.50297354178485</v>
      </c>
      <c r="V56" s="120">
        <v>5497.6360236410401</v>
      </c>
      <c r="W56" s="120">
        <v>1041.13516179</v>
      </c>
      <c r="X56" s="120">
        <v>4456.5008618510401</v>
      </c>
      <c r="Y56" s="120">
        <v>0</v>
      </c>
      <c r="Z56" s="120">
        <v>0</v>
      </c>
      <c r="AA56" s="123">
        <v>0.21199999999999999</v>
      </c>
      <c r="AB56" s="124">
        <v>300000</v>
      </c>
      <c r="AC56" s="124">
        <v>234000</v>
      </c>
      <c r="AD56" s="124">
        <v>1140000</v>
      </c>
      <c r="AE56" s="188" t="s">
        <v>387</v>
      </c>
      <c r="AF56" s="118">
        <v>2022</v>
      </c>
      <c r="AG56" s="126">
        <v>2501.7300228699996</v>
      </c>
      <c r="AH56" s="126">
        <v>2501.7300228699996</v>
      </c>
      <c r="AI56" s="126">
        <v>0</v>
      </c>
      <c r="AJ56" s="126">
        <v>0</v>
      </c>
      <c r="AK56" s="126">
        <v>0</v>
      </c>
      <c r="AL56" s="126">
        <v>0</v>
      </c>
    </row>
    <row r="57" spans="1:38" s="169" customFormat="1" ht="10.5" customHeight="1" x14ac:dyDescent="0.25">
      <c r="A57" s="118">
        <v>40</v>
      </c>
      <c r="B57" s="119" t="s">
        <v>362</v>
      </c>
      <c r="C57" s="118" t="s">
        <v>136</v>
      </c>
      <c r="D57" s="120">
        <v>2270</v>
      </c>
      <c r="E57" s="121" t="s">
        <v>330</v>
      </c>
      <c r="F57" s="122">
        <v>35.4</v>
      </c>
      <c r="G57" s="120">
        <v>605514.80000000016</v>
      </c>
      <c r="H57" s="120">
        <v>605514.80000000016</v>
      </c>
      <c r="I57" s="120">
        <v>500891.00000000006</v>
      </c>
      <c r="J57" s="120">
        <v>30521.4</v>
      </c>
      <c r="K57" s="120">
        <v>0</v>
      </c>
      <c r="L57" s="120">
        <v>2333</v>
      </c>
      <c r="M57" s="120">
        <v>10969.7</v>
      </c>
      <c r="N57" s="120">
        <v>10579.7</v>
      </c>
      <c r="O57" s="120">
        <v>0</v>
      </c>
      <c r="P57" s="120">
        <v>0</v>
      </c>
      <c r="Q57" s="120">
        <v>13</v>
      </c>
      <c r="R57" s="120">
        <v>390</v>
      </c>
      <c r="S57" s="120">
        <v>0</v>
      </c>
      <c r="T57" s="120">
        <v>0</v>
      </c>
      <c r="U57" s="120">
        <v>0</v>
      </c>
      <c r="V57" s="120">
        <v>2814.2351093433331</v>
      </c>
      <c r="W57" s="120">
        <v>385.52289397999994</v>
      </c>
      <c r="X57" s="120">
        <v>2428.7122153633331</v>
      </c>
      <c r="Y57" s="120">
        <v>0</v>
      </c>
      <c r="Z57" s="120">
        <v>0</v>
      </c>
      <c r="AA57" s="123">
        <v>0.188</v>
      </c>
      <c r="AB57" s="124">
        <v>210000</v>
      </c>
      <c r="AC57" s="124">
        <v>0</v>
      </c>
      <c r="AD57" s="124">
        <v>440000</v>
      </c>
      <c r="AE57" s="186" t="s">
        <v>387</v>
      </c>
      <c r="AF57" s="118">
        <v>2010</v>
      </c>
      <c r="AG57" s="126">
        <v>0</v>
      </c>
      <c r="AH57" s="126">
        <v>0</v>
      </c>
      <c r="AI57" s="126">
        <v>0</v>
      </c>
      <c r="AJ57" s="126">
        <v>0</v>
      </c>
      <c r="AK57" s="126">
        <v>0</v>
      </c>
      <c r="AL57" s="126">
        <v>0</v>
      </c>
    </row>
    <row r="58" spans="1:38" s="169" customFormat="1" ht="10.5" customHeight="1" x14ac:dyDescent="0.25">
      <c r="A58" s="118">
        <v>41</v>
      </c>
      <c r="B58" s="119" t="s">
        <v>336</v>
      </c>
      <c r="C58" s="118" t="s">
        <v>136</v>
      </c>
      <c r="D58" s="120">
        <v>1027</v>
      </c>
      <c r="E58" s="121" t="s">
        <v>330</v>
      </c>
      <c r="F58" s="122">
        <v>11.689</v>
      </c>
      <c r="G58" s="120">
        <v>49580.533814432987</v>
      </c>
      <c r="H58" s="120">
        <v>49580.533814432987</v>
      </c>
      <c r="I58" s="120">
        <v>38276.199999999997</v>
      </c>
      <c r="J58" s="120">
        <v>2768.1000000000004</v>
      </c>
      <c r="K58" s="120">
        <v>0</v>
      </c>
      <c r="L58" s="120">
        <v>638</v>
      </c>
      <c r="M58" s="120">
        <v>10002.5</v>
      </c>
      <c r="N58" s="120">
        <v>3582.5</v>
      </c>
      <c r="O58" s="120">
        <v>0</v>
      </c>
      <c r="P58" s="120">
        <v>0</v>
      </c>
      <c r="Q58" s="120">
        <v>214</v>
      </c>
      <c r="R58" s="120">
        <v>6420</v>
      </c>
      <c r="S58" s="120">
        <v>3958.7427943799812</v>
      </c>
      <c r="T58" s="120">
        <v>3907.2367497173623</v>
      </c>
      <c r="U58" s="120">
        <v>51.50604466261904</v>
      </c>
      <c r="V58" s="120">
        <v>1234.9786756486001</v>
      </c>
      <c r="W58" s="120">
        <v>89.353191340000009</v>
      </c>
      <c r="X58" s="120">
        <v>1145.6254843086001</v>
      </c>
      <c r="Y58" s="120">
        <v>0</v>
      </c>
      <c r="Z58" s="120">
        <v>0</v>
      </c>
      <c r="AA58" s="123">
        <v>0.188</v>
      </c>
      <c r="AB58" s="124">
        <v>260000</v>
      </c>
      <c r="AC58" s="124">
        <v>0</v>
      </c>
      <c r="AD58" s="124">
        <v>670000</v>
      </c>
      <c r="AE58" s="186" t="s">
        <v>387</v>
      </c>
      <c r="AF58" s="125" t="s">
        <v>17</v>
      </c>
      <c r="AG58" s="126">
        <v>239.77912438015039</v>
      </c>
      <c r="AH58" s="126">
        <v>239.77912438015039</v>
      </c>
      <c r="AI58" s="126">
        <v>0</v>
      </c>
      <c r="AJ58" s="126">
        <v>0</v>
      </c>
      <c r="AK58" s="126">
        <v>0</v>
      </c>
      <c r="AL58" s="126">
        <v>0</v>
      </c>
    </row>
    <row r="59" spans="1:38" s="169" customFormat="1" ht="10.5" customHeight="1" x14ac:dyDescent="0.25">
      <c r="A59" s="118">
        <v>42</v>
      </c>
      <c r="B59" s="119" t="s">
        <v>18</v>
      </c>
      <c r="C59" s="118" t="s">
        <v>136</v>
      </c>
      <c r="D59" s="120">
        <v>594</v>
      </c>
      <c r="E59" s="121" t="s">
        <v>330</v>
      </c>
      <c r="F59" s="122">
        <v>1.1279999999999999</v>
      </c>
      <c r="G59" s="120">
        <v>23611.1</v>
      </c>
      <c r="H59" s="120">
        <v>22847.4</v>
      </c>
      <c r="I59" s="120">
        <v>19158.199999999997</v>
      </c>
      <c r="J59" s="120">
        <v>1574.5</v>
      </c>
      <c r="K59" s="120">
        <v>0</v>
      </c>
      <c r="L59" s="120">
        <v>159</v>
      </c>
      <c r="M59" s="120">
        <v>1330.5</v>
      </c>
      <c r="N59" s="120">
        <v>0</v>
      </c>
      <c r="O59" s="120">
        <v>10.5</v>
      </c>
      <c r="P59" s="120">
        <v>0</v>
      </c>
      <c r="Q59" s="120">
        <v>44</v>
      </c>
      <c r="R59" s="120">
        <v>1320</v>
      </c>
      <c r="S59" s="120">
        <v>3837.1010782384064</v>
      </c>
      <c r="T59" s="120">
        <v>3837.1010782384064</v>
      </c>
      <c r="U59" s="120">
        <v>0</v>
      </c>
      <c r="V59" s="120">
        <v>1363.89165518</v>
      </c>
      <c r="W59" s="120">
        <v>367.80519309999994</v>
      </c>
      <c r="X59" s="120">
        <v>75.594100000000026</v>
      </c>
      <c r="Y59" s="120">
        <v>920.49236208000002</v>
      </c>
      <c r="Z59" s="120">
        <v>657.10914788000002</v>
      </c>
      <c r="AA59" s="123">
        <v>0.188</v>
      </c>
      <c r="AB59" s="124">
        <v>0</v>
      </c>
      <c r="AC59" s="124">
        <v>120000</v>
      </c>
      <c r="AD59" s="124">
        <v>1600000</v>
      </c>
      <c r="AE59" s="186" t="s">
        <v>387</v>
      </c>
      <c r="AF59" s="125" t="s">
        <v>21</v>
      </c>
      <c r="AG59" s="126">
        <v>648.20605901048498</v>
      </c>
      <c r="AH59" s="126">
        <v>648.20605901048498</v>
      </c>
      <c r="AI59" s="126">
        <v>0</v>
      </c>
      <c r="AJ59" s="126">
        <v>0</v>
      </c>
      <c r="AK59" s="126">
        <v>0</v>
      </c>
      <c r="AL59" s="126">
        <v>0</v>
      </c>
    </row>
    <row r="60" spans="1:38" s="169" customFormat="1" ht="10.5" customHeight="1" x14ac:dyDescent="0.25">
      <c r="A60" s="118">
        <v>43</v>
      </c>
      <c r="B60" s="119" t="s">
        <v>363</v>
      </c>
      <c r="C60" s="118" t="s">
        <v>136</v>
      </c>
      <c r="D60" s="120">
        <v>507</v>
      </c>
      <c r="E60" s="121" t="s">
        <v>330</v>
      </c>
      <c r="F60" s="122">
        <v>20.8</v>
      </c>
      <c r="G60" s="120">
        <v>390138.3000000001</v>
      </c>
      <c r="H60" s="120">
        <v>301394.73226187157</v>
      </c>
      <c r="I60" s="120">
        <v>200182.13333333333</v>
      </c>
      <c r="J60" s="120">
        <v>28413.93</v>
      </c>
      <c r="K60" s="120">
        <v>0</v>
      </c>
      <c r="L60" s="120">
        <v>2643</v>
      </c>
      <c r="M60" s="120">
        <v>46290</v>
      </c>
      <c r="N60" s="120">
        <v>0</v>
      </c>
      <c r="O60" s="120">
        <v>0</v>
      </c>
      <c r="P60" s="120">
        <v>0</v>
      </c>
      <c r="Q60" s="120">
        <v>1543</v>
      </c>
      <c r="R60" s="120">
        <v>46290</v>
      </c>
      <c r="S60" s="120">
        <v>0</v>
      </c>
      <c r="T60" s="120">
        <v>0</v>
      </c>
      <c r="U60" s="120">
        <v>0</v>
      </c>
      <c r="V60" s="120">
        <v>803.35706833075778</v>
      </c>
      <c r="W60" s="120">
        <v>98.542417729999997</v>
      </c>
      <c r="X60" s="120">
        <v>704.81465060075777</v>
      </c>
      <c r="Y60" s="120">
        <v>0</v>
      </c>
      <c r="Z60" s="120">
        <v>0</v>
      </c>
      <c r="AA60" s="123">
        <v>0.188</v>
      </c>
      <c r="AB60" s="124">
        <v>0</v>
      </c>
      <c r="AC60" s="124">
        <v>0</v>
      </c>
      <c r="AD60" s="124">
        <v>470000</v>
      </c>
      <c r="AE60" s="186" t="s">
        <v>387</v>
      </c>
      <c r="AF60" s="118">
        <v>2013</v>
      </c>
      <c r="AG60" s="126">
        <v>0</v>
      </c>
      <c r="AH60" s="126">
        <v>0</v>
      </c>
      <c r="AI60" s="126">
        <v>0</v>
      </c>
      <c r="AJ60" s="126">
        <v>0</v>
      </c>
      <c r="AK60" s="126">
        <v>0</v>
      </c>
      <c r="AL60" s="126">
        <v>0</v>
      </c>
    </row>
    <row r="61" spans="1:38" s="169" customFormat="1" ht="10.5" customHeight="1" x14ac:dyDescent="0.25">
      <c r="A61" s="118">
        <v>44</v>
      </c>
      <c r="B61" s="119" t="s">
        <v>360</v>
      </c>
      <c r="C61" s="118" t="s">
        <v>136</v>
      </c>
      <c r="D61" s="120">
        <v>386</v>
      </c>
      <c r="E61" s="121" t="s">
        <v>330</v>
      </c>
      <c r="F61" s="122">
        <v>4.2</v>
      </c>
      <c r="G61" s="120">
        <v>27455.700000000004</v>
      </c>
      <c r="H61" s="120">
        <v>27455.700000000004</v>
      </c>
      <c r="I61" s="120">
        <v>21717.5</v>
      </c>
      <c r="J61" s="120">
        <v>2691.7</v>
      </c>
      <c r="K61" s="120">
        <v>0</v>
      </c>
      <c r="L61" s="120">
        <v>226</v>
      </c>
      <c r="M61" s="120">
        <v>586.40000000000009</v>
      </c>
      <c r="N61" s="120">
        <v>0</v>
      </c>
      <c r="O61" s="120">
        <v>586.40000000000009</v>
      </c>
      <c r="P61" s="120">
        <v>0</v>
      </c>
      <c r="Q61" s="120">
        <v>0</v>
      </c>
      <c r="R61" s="120">
        <v>0</v>
      </c>
      <c r="S61" s="120">
        <v>1437.7460739800008</v>
      </c>
      <c r="T61" s="120">
        <v>1437.7460739800008</v>
      </c>
      <c r="U61" s="120">
        <v>0</v>
      </c>
      <c r="V61" s="120">
        <v>438.92538112000005</v>
      </c>
      <c r="W61" s="120">
        <v>366.02706512000003</v>
      </c>
      <c r="X61" s="120">
        <v>72.898316000000023</v>
      </c>
      <c r="Y61" s="120">
        <v>0</v>
      </c>
      <c r="Z61" s="120">
        <v>0</v>
      </c>
      <c r="AA61" s="123">
        <v>0.188</v>
      </c>
      <c r="AB61" s="124">
        <v>0</v>
      </c>
      <c r="AC61" s="124">
        <v>141000</v>
      </c>
      <c r="AD61" s="124">
        <v>0</v>
      </c>
      <c r="AE61" s="186" t="s">
        <v>387</v>
      </c>
      <c r="AF61" s="118">
        <v>2020</v>
      </c>
      <c r="AG61" s="126">
        <v>1059.2840531999998</v>
      </c>
      <c r="AH61" s="126">
        <v>1059.2840531999998</v>
      </c>
      <c r="AI61" s="126">
        <v>0</v>
      </c>
      <c r="AJ61" s="126">
        <v>0</v>
      </c>
      <c r="AK61" s="126">
        <v>0</v>
      </c>
      <c r="AL61" s="126">
        <v>0</v>
      </c>
    </row>
    <row r="62" spans="1:38" s="169" customFormat="1" ht="10.5" customHeight="1" x14ac:dyDescent="0.25">
      <c r="A62" s="118">
        <v>45</v>
      </c>
      <c r="B62" s="119" t="s">
        <v>361</v>
      </c>
      <c r="C62" s="118" t="s">
        <v>136</v>
      </c>
      <c r="D62" s="120">
        <v>342</v>
      </c>
      <c r="E62" s="121" t="s">
        <v>330</v>
      </c>
      <c r="F62" s="122">
        <v>2.8</v>
      </c>
      <c r="G62" s="120">
        <v>52544.4</v>
      </c>
      <c r="H62" s="120">
        <v>52544.4</v>
      </c>
      <c r="I62" s="120">
        <v>45849.9</v>
      </c>
      <c r="J62" s="120">
        <v>1016.6</v>
      </c>
      <c r="K62" s="120">
        <v>0</v>
      </c>
      <c r="L62" s="120">
        <v>426</v>
      </c>
      <c r="M62" s="120">
        <v>422.4</v>
      </c>
      <c r="N62" s="120">
        <v>182.4</v>
      </c>
      <c r="O62" s="120">
        <v>0</v>
      </c>
      <c r="P62" s="120">
        <v>0</v>
      </c>
      <c r="Q62" s="120">
        <v>8</v>
      </c>
      <c r="R62" s="120">
        <v>240</v>
      </c>
      <c r="S62" s="120">
        <v>3299.7408329400009</v>
      </c>
      <c r="T62" s="120">
        <v>3299.7408329400009</v>
      </c>
      <c r="U62" s="120">
        <v>0</v>
      </c>
      <c r="V62" s="120">
        <v>409.37350772999997</v>
      </c>
      <c r="W62" s="120">
        <v>350.58190773000001</v>
      </c>
      <c r="X62" s="120">
        <v>58.79159999999996</v>
      </c>
      <c r="Y62" s="120">
        <v>0</v>
      </c>
      <c r="Z62" s="120">
        <v>0</v>
      </c>
      <c r="AA62" s="123">
        <v>0.188</v>
      </c>
      <c r="AB62" s="124">
        <v>275000</v>
      </c>
      <c r="AC62" s="124">
        <v>0</v>
      </c>
      <c r="AD62" s="124">
        <v>810000</v>
      </c>
      <c r="AE62" s="186" t="s">
        <v>387</v>
      </c>
      <c r="AF62" s="118">
        <v>2021</v>
      </c>
      <c r="AG62" s="126">
        <v>1723.9431715700005</v>
      </c>
      <c r="AH62" s="126">
        <v>1723.9431715700005</v>
      </c>
      <c r="AI62" s="126">
        <v>0</v>
      </c>
      <c r="AJ62" s="126">
        <v>0</v>
      </c>
      <c r="AK62" s="126">
        <v>0</v>
      </c>
      <c r="AL62" s="126">
        <v>0</v>
      </c>
    </row>
    <row r="63" spans="1:38" s="169" customFormat="1" ht="10.5" customHeight="1" x14ac:dyDescent="0.25">
      <c r="A63" s="118">
        <v>46</v>
      </c>
      <c r="B63" s="119" t="s">
        <v>6</v>
      </c>
      <c r="C63" s="118" t="s">
        <v>136</v>
      </c>
      <c r="D63" s="120">
        <v>258</v>
      </c>
      <c r="E63" s="121" t="s">
        <v>330</v>
      </c>
      <c r="F63" s="122">
        <v>1.5</v>
      </c>
      <c r="G63" s="120">
        <v>36711.599999999999</v>
      </c>
      <c r="H63" s="120">
        <v>36711.599999999999</v>
      </c>
      <c r="I63" s="120">
        <v>28388.9</v>
      </c>
      <c r="J63" s="120">
        <v>3169.6000000000004</v>
      </c>
      <c r="K63" s="120">
        <v>0</v>
      </c>
      <c r="L63" s="120">
        <v>416</v>
      </c>
      <c r="M63" s="120">
        <v>0</v>
      </c>
      <c r="N63" s="120">
        <v>0</v>
      </c>
      <c r="O63" s="120">
        <v>0</v>
      </c>
      <c r="P63" s="120">
        <v>0</v>
      </c>
      <c r="Q63" s="120">
        <v>0</v>
      </c>
      <c r="R63" s="120">
        <v>0</v>
      </c>
      <c r="S63" s="120">
        <v>3175.125490150001</v>
      </c>
      <c r="T63" s="120">
        <v>3175.125490150001</v>
      </c>
      <c r="U63" s="120">
        <v>0</v>
      </c>
      <c r="V63" s="120">
        <v>368.32468469000003</v>
      </c>
      <c r="W63" s="120">
        <v>368.32468469000003</v>
      </c>
      <c r="X63" s="120">
        <v>0</v>
      </c>
      <c r="Y63" s="120">
        <v>0</v>
      </c>
      <c r="Z63" s="120">
        <v>0</v>
      </c>
      <c r="AA63" s="123">
        <v>0.188</v>
      </c>
      <c r="AB63" s="124">
        <v>0</v>
      </c>
      <c r="AC63" s="124">
        <v>0</v>
      </c>
      <c r="AD63" s="124">
        <v>0</v>
      </c>
      <c r="AE63" s="186" t="s">
        <v>387</v>
      </c>
      <c r="AF63" s="118">
        <v>2020</v>
      </c>
      <c r="AG63" s="126">
        <v>1568.10629668</v>
      </c>
      <c r="AH63" s="126">
        <v>1568.10629668</v>
      </c>
      <c r="AI63" s="126">
        <v>0</v>
      </c>
      <c r="AJ63" s="126">
        <v>0</v>
      </c>
      <c r="AK63" s="126">
        <v>0</v>
      </c>
      <c r="AL63" s="126">
        <v>0</v>
      </c>
    </row>
    <row r="64" spans="1:38" s="169" customFormat="1" ht="10.5" customHeight="1" x14ac:dyDescent="0.25">
      <c r="A64" s="118">
        <v>47</v>
      </c>
      <c r="B64" s="119" t="s">
        <v>364</v>
      </c>
      <c r="C64" s="118" t="s">
        <v>136</v>
      </c>
      <c r="D64" s="120">
        <v>269</v>
      </c>
      <c r="E64" s="121" t="s">
        <v>330</v>
      </c>
      <c r="F64" s="122">
        <v>8.4</v>
      </c>
      <c r="G64" s="120">
        <v>209262.00000000003</v>
      </c>
      <c r="H64" s="120">
        <v>204053.40000000002</v>
      </c>
      <c r="I64" s="120">
        <v>136762.6</v>
      </c>
      <c r="J64" s="120">
        <v>14494.400000000001</v>
      </c>
      <c r="K64" s="120">
        <v>0</v>
      </c>
      <c r="L64" s="120">
        <v>884</v>
      </c>
      <c r="M64" s="120">
        <v>22177.8</v>
      </c>
      <c r="N64" s="120">
        <v>0</v>
      </c>
      <c r="O64" s="120">
        <v>97.8</v>
      </c>
      <c r="P64" s="120">
        <v>0</v>
      </c>
      <c r="Q64" s="120">
        <v>736</v>
      </c>
      <c r="R64" s="120">
        <v>22080</v>
      </c>
      <c r="S64" s="120">
        <v>0</v>
      </c>
      <c r="T64" s="120">
        <v>0</v>
      </c>
      <c r="U64" s="120">
        <v>0</v>
      </c>
      <c r="V64" s="120">
        <v>419.70249378593081</v>
      </c>
      <c r="W64" s="120">
        <v>50.860101280000002</v>
      </c>
      <c r="X64" s="120">
        <v>368.84239250593083</v>
      </c>
      <c r="Y64" s="120">
        <v>0</v>
      </c>
      <c r="Z64" s="120">
        <v>0</v>
      </c>
      <c r="AA64" s="123">
        <v>0.188</v>
      </c>
      <c r="AB64" s="124">
        <v>0</v>
      </c>
      <c r="AC64" s="124">
        <v>240000</v>
      </c>
      <c r="AD64" s="124">
        <v>480000</v>
      </c>
      <c r="AE64" s="186" t="s">
        <v>387</v>
      </c>
      <c r="AF64" s="118">
        <v>2015</v>
      </c>
      <c r="AG64" s="126">
        <v>0</v>
      </c>
      <c r="AH64" s="126">
        <v>0</v>
      </c>
      <c r="AI64" s="126">
        <v>0</v>
      </c>
      <c r="AJ64" s="126">
        <v>0</v>
      </c>
      <c r="AK64" s="126">
        <v>0</v>
      </c>
      <c r="AL64" s="126">
        <v>0</v>
      </c>
    </row>
    <row r="65" spans="1:38" s="169" customFormat="1" ht="10.5" customHeight="1" x14ac:dyDescent="0.25">
      <c r="A65" s="118">
        <v>48</v>
      </c>
      <c r="B65" s="119" t="s">
        <v>366</v>
      </c>
      <c r="C65" s="118" t="s">
        <v>136</v>
      </c>
      <c r="D65" s="120">
        <v>220</v>
      </c>
      <c r="E65" s="121" t="s">
        <v>5</v>
      </c>
      <c r="F65" s="122" t="s">
        <v>5</v>
      </c>
      <c r="G65" s="120">
        <v>23040</v>
      </c>
      <c r="H65" s="120">
        <v>23040</v>
      </c>
      <c r="I65" s="120">
        <v>0</v>
      </c>
      <c r="J65" s="120">
        <v>0</v>
      </c>
      <c r="K65" s="120">
        <v>0</v>
      </c>
      <c r="L65" s="120">
        <v>768</v>
      </c>
      <c r="M65" s="120">
        <v>5550</v>
      </c>
      <c r="N65" s="120">
        <v>0</v>
      </c>
      <c r="O65" s="120">
        <v>0</v>
      </c>
      <c r="P65" s="120">
        <v>0</v>
      </c>
      <c r="Q65" s="120">
        <v>185</v>
      </c>
      <c r="R65" s="120">
        <v>5550</v>
      </c>
      <c r="S65" s="120">
        <v>0</v>
      </c>
      <c r="T65" s="120">
        <v>0</v>
      </c>
      <c r="U65" s="120">
        <v>0</v>
      </c>
      <c r="V65" s="120">
        <v>316.61604257720006</v>
      </c>
      <c r="W65" s="120">
        <v>49.764681589999995</v>
      </c>
      <c r="X65" s="120">
        <v>266.85136098720005</v>
      </c>
      <c r="Y65" s="120">
        <v>0</v>
      </c>
      <c r="Z65" s="120">
        <v>0</v>
      </c>
      <c r="AA65" s="123">
        <v>0.188</v>
      </c>
      <c r="AB65" s="124">
        <v>0</v>
      </c>
      <c r="AC65" s="124">
        <v>0</v>
      </c>
      <c r="AD65" s="124">
        <v>1530000</v>
      </c>
      <c r="AE65" s="186" t="s">
        <v>387</v>
      </c>
      <c r="AF65" s="125" t="s">
        <v>5</v>
      </c>
      <c r="AG65" s="126">
        <v>0</v>
      </c>
      <c r="AH65" s="126">
        <v>0</v>
      </c>
      <c r="AI65" s="126">
        <v>0</v>
      </c>
      <c r="AJ65" s="126">
        <v>0</v>
      </c>
      <c r="AK65" s="126">
        <v>0</v>
      </c>
      <c r="AL65" s="126">
        <v>0</v>
      </c>
    </row>
    <row r="66" spans="1:38" s="169" customFormat="1" ht="21" x14ac:dyDescent="0.25">
      <c r="A66" s="118">
        <v>49</v>
      </c>
      <c r="B66" s="119" t="s">
        <v>365</v>
      </c>
      <c r="C66" s="118" t="s">
        <v>136</v>
      </c>
      <c r="D66" s="120">
        <v>159</v>
      </c>
      <c r="E66" s="121" t="s">
        <v>343</v>
      </c>
      <c r="F66" s="122">
        <v>12.7</v>
      </c>
      <c r="G66" s="120">
        <v>225597.19999999992</v>
      </c>
      <c r="H66" s="120">
        <v>201155.4</v>
      </c>
      <c r="I66" s="120">
        <v>159702.40000000002</v>
      </c>
      <c r="J66" s="120">
        <v>8503.5</v>
      </c>
      <c r="K66" s="120">
        <v>0</v>
      </c>
      <c r="L66" s="120">
        <v>869</v>
      </c>
      <c r="M66" s="120">
        <v>3030</v>
      </c>
      <c r="N66" s="120">
        <v>0</v>
      </c>
      <c r="O66" s="120">
        <v>0</v>
      </c>
      <c r="P66" s="120">
        <v>0</v>
      </c>
      <c r="Q66" s="120">
        <v>101</v>
      </c>
      <c r="R66" s="120">
        <v>3030</v>
      </c>
      <c r="S66" s="120">
        <v>0</v>
      </c>
      <c r="T66" s="120">
        <v>0</v>
      </c>
      <c r="U66" s="120">
        <v>0</v>
      </c>
      <c r="V66" s="120">
        <v>192.14292916333332</v>
      </c>
      <c r="W66" s="120">
        <v>111.10894583000001</v>
      </c>
      <c r="X66" s="120">
        <v>81.03398333333331</v>
      </c>
      <c r="Y66" s="120">
        <v>0</v>
      </c>
      <c r="Z66" s="120">
        <v>0</v>
      </c>
      <c r="AA66" s="123">
        <v>0.188</v>
      </c>
      <c r="AB66" s="124">
        <v>0</v>
      </c>
      <c r="AC66" s="124">
        <v>0</v>
      </c>
      <c r="AD66" s="124">
        <v>910000</v>
      </c>
      <c r="AE66" s="186" t="s">
        <v>387</v>
      </c>
      <c r="AF66" s="125" t="s">
        <v>28</v>
      </c>
      <c r="AG66" s="126">
        <v>0</v>
      </c>
      <c r="AH66" s="126">
        <v>0</v>
      </c>
      <c r="AI66" s="126">
        <v>0</v>
      </c>
      <c r="AJ66" s="126">
        <v>0</v>
      </c>
      <c r="AK66" s="126">
        <v>0</v>
      </c>
      <c r="AL66" s="126">
        <v>0</v>
      </c>
    </row>
    <row r="67" spans="1:38" s="169" customFormat="1" ht="10.5" customHeight="1" x14ac:dyDescent="0.25">
      <c r="A67" s="118">
        <v>50</v>
      </c>
      <c r="B67" s="119" t="s">
        <v>19</v>
      </c>
      <c r="C67" s="118" t="s">
        <v>136</v>
      </c>
      <c r="D67" s="120">
        <v>62</v>
      </c>
      <c r="E67" s="121" t="s">
        <v>330</v>
      </c>
      <c r="F67" s="122">
        <v>0.24959999999999999</v>
      </c>
      <c r="G67" s="120">
        <v>6821.7</v>
      </c>
      <c r="H67" s="120">
        <v>6821.7</v>
      </c>
      <c r="I67" s="120">
        <v>5755.3</v>
      </c>
      <c r="J67" s="120">
        <v>504.5</v>
      </c>
      <c r="K67" s="120">
        <v>0</v>
      </c>
      <c r="L67" s="120">
        <v>41</v>
      </c>
      <c r="M67" s="120">
        <v>131.69999999999999</v>
      </c>
      <c r="N67" s="120">
        <v>71.7</v>
      </c>
      <c r="O67" s="120">
        <v>0</v>
      </c>
      <c r="P67" s="120">
        <v>0</v>
      </c>
      <c r="Q67" s="120">
        <v>2</v>
      </c>
      <c r="R67" s="120">
        <v>60</v>
      </c>
      <c r="S67" s="120">
        <v>0</v>
      </c>
      <c r="T67" s="120">
        <v>0</v>
      </c>
      <c r="U67" s="120">
        <v>0</v>
      </c>
      <c r="V67" s="120">
        <v>70.147387000000009</v>
      </c>
      <c r="W67" s="120">
        <v>42.865757000000002</v>
      </c>
      <c r="X67" s="120">
        <v>27.281630000000007</v>
      </c>
      <c r="Y67" s="120">
        <v>0</v>
      </c>
      <c r="Z67" s="120">
        <v>0</v>
      </c>
      <c r="AA67" s="123">
        <v>0.188</v>
      </c>
      <c r="AB67" s="124">
        <v>308000</v>
      </c>
      <c r="AC67" s="124">
        <v>0</v>
      </c>
      <c r="AD67" s="124">
        <v>1850000</v>
      </c>
      <c r="AE67" s="186" t="s">
        <v>387</v>
      </c>
      <c r="AF67" s="118">
        <v>2023</v>
      </c>
      <c r="AG67" s="126">
        <v>0</v>
      </c>
      <c r="AH67" s="126">
        <v>0</v>
      </c>
      <c r="AI67" s="126">
        <v>0</v>
      </c>
      <c r="AJ67" s="126">
        <v>0</v>
      </c>
      <c r="AK67" s="126">
        <v>0</v>
      </c>
      <c r="AL67" s="126">
        <v>0</v>
      </c>
    </row>
    <row r="68" spans="1:38" s="169" customFormat="1" ht="10.5" customHeight="1" x14ac:dyDescent="0.25">
      <c r="A68" s="128"/>
      <c r="B68" s="129" t="s">
        <v>456</v>
      </c>
      <c r="C68" s="128"/>
      <c r="D68" s="130">
        <v>28556</v>
      </c>
      <c r="E68" s="128"/>
      <c r="F68" s="128"/>
      <c r="G68" s="130">
        <v>2460314.7338144328</v>
      </c>
      <c r="H68" s="130">
        <v>2271060.9660763047</v>
      </c>
      <c r="I68" s="130">
        <v>1796761.7333333332</v>
      </c>
      <c r="J68" s="130">
        <v>135532.23000000001</v>
      </c>
      <c r="K68" s="130">
        <v>0</v>
      </c>
      <c r="L68" s="130">
        <v>13396</v>
      </c>
      <c r="M68" s="130">
        <v>181793.49999999997</v>
      </c>
      <c r="N68" s="130">
        <v>64485.7</v>
      </c>
      <c r="O68" s="130">
        <v>3455.2000000000003</v>
      </c>
      <c r="P68" s="130">
        <v>0</v>
      </c>
      <c r="Q68" s="130">
        <v>4197</v>
      </c>
      <c r="R68" s="130">
        <v>113852.6</v>
      </c>
      <c r="S68" s="130">
        <v>66144.347596961758</v>
      </c>
      <c r="T68" s="130">
        <v>65065.022161191941</v>
      </c>
      <c r="U68" s="130">
        <v>1079.3254357698131</v>
      </c>
      <c r="V68" s="130">
        <v>36227.338709050862</v>
      </c>
      <c r="W68" s="130">
        <v>11654.40055948</v>
      </c>
      <c r="X68" s="130">
        <v>23652.445787490858</v>
      </c>
      <c r="Y68" s="130">
        <v>920.49236208000002</v>
      </c>
      <c r="Z68" s="130">
        <v>657.10914788000002</v>
      </c>
      <c r="AA68" s="131"/>
      <c r="AB68" s="130"/>
      <c r="AC68" s="130"/>
      <c r="AD68" s="130"/>
      <c r="AE68" s="131"/>
      <c r="AF68" s="131"/>
      <c r="AG68" s="132">
        <v>10769.331923830636</v>
      </c>
      <c r="AH68" s="132">
        <v>10769.065996670637</v>
      </c>
      <c r="AI68" s="132">
        <v>0.26592716000004657</v>
      </c>
      <c r="AJ68" s="132">
        <v>0</v>
      </c>
      <c r="AK68" s="132">
        <v>0.24398013943580013</v>
      </c>
      <c r="AL68" s="132">
        <v>0</v>
      </c>
    </row>
    <row r="69" spans="1:38" s="169" customFormat="1" ht="10.5" customHeight="1" x14ac:dyDescent="0.25">
      <c r="A69" s="168"/>
      <c r="B69" s="115" t="s">
        <v>367</v>
      </c>
      <c r="C69" s="168"/>
      <c r="D69" s="167"/>
      <c r="E69" s="168"/>
      <c r="F69" s="168"/>
      <c r="G69" s="168"/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67"/>
      <c r="T69" s="167"/>
      <c r="U69" s="167"/>
      <c r="V69" s="167"/>
      <c r="W69" s="167"/>
      <c r="X69" s="167"/>
      <c r="Y69" s="167"/>
      <c r="Z69" s="167"/>
      <c r="AA69" s="167"/>
      <c r="AB69" s="116"/>
      <c r="AC69" s="116"/>
      <c r="AD69" s="116"/>
      <c r="AE69" s="187"/>
      <c r="AF69" s="167"/>
      <c r="AG69" s="167"/>
      <c r="AH69" s="167"/>
      <c r="AI69" s="117"/>
      <c r="AJ69" s="117"/>
      <c r="AK69" s="117"/>
      <c r="AL69" s="117"/>
    </row>
    <row r="70" spans="1:38" s="169" customFormat="1" ht="10.5" customHeight="1" x14ac:dyDescent="0.25">
      <c r="A70" s="118">
        <v>51</v>
      </c>
      <c r="B70" s="119" t="s">
        <v>24</v>
      </c>
      <c r="C70" s="118" t="s">
        <v>391</v>
      </c>
      <c r="D70" s="120">
        <v>592</v>
      </c>
      <c r="E70" s="121" t="s">
        <v>330</v>
      </c>
      <c r="F70" s="122">
        <v>3.9613</v>
      </c>
      <c r="G70" s="120">
        <v>21983</v>
      </c>
      <c r="H70" s="120">
        <v>21983</v>
      </c>
      <c r="I70" s="120">
        <v>15679.150000000001</v>
      </c>
      <c r="J70" s="120">
        <v>207.65</v>
      </c>
      <c r="K70" s="120">
        <v>0</v>
      </c>
      <c r="L70" s="120">
        <v>449</v>
      </c>
      <c r="M70" s="120">
        <v>468.5</v>
      </c>
      <c r="N70" s="120">
        <v>271.8</v>
      </c>
      <c r="O70" s="120">
        <v>196.7</v>
      </c>
      <c r="P70" s="120">
        <v>0</v>
      </c>
      <c r="Q70" s="120">
        <v>0</v>
      </c>
      <c r="R70" s="120">
        <v>0</v>
      </c>
      <c r="S70" s="120">
        <v>1678.4914105974156</v>
      </c>
      <c r="T70" s="120">
        <v>1662.545437245007</v>
      </c>
      <c r="U70" s="120">
        <v>15.945973352408618</v>
      </c>
      <c r="V70" s="120">
        <v>1502.5837556666665</v>
      </c>
      <c r="W70" s="120">
        <v>104.36653</v>
      </c>
      <c r="X70" s="120">
        <v>97.40036166666664</v>
      </c>
      <c r="Y70" s="120">
        <v>1300.8168639999999</v>
      </c>
      <c r="Z70" s="120">
        <v>837.79762995999999</v>
      </c>
      <c r="AA70" s="123">
        <v>0.188</v>
      </c>
      <c r="AB70" s="124">
        <v>200000</v>
      </c>
      <c r="AC70" s="124">
        <v>230000</v>
      </c>
      <c r="AD70" s="124">
        <v>0</v>
      </c>
      <c r="AE70" s="186" t="s">
        <v>387</v>
      </c>
      <c r="AF70" s="125" t="s">
        <v>17</v>
      </c>
      <c r="AG70" s="126">
        <v>62.306883960210307</v>
      </c>
      <c r="AH70" s="126">
        <v>62.306883960210307</v>
      </c>
      <c r="AI70" s="126">
        <v>0</v>
      </c>
      <c r="AJ70" s="126">
        <v>0</v>
      </c>
      <c r="AK70" s="126">
        <v>0</v>
      </c>
      <c r="AL70" s="126">
        <v>0</v>
      </c>
    </row>
    <row r="71" spans="1:38" s="169" customFormat="1" ht="10.5" customHeight="1" x14ac:dyDescent="0.25">
      <c r="A71" s="118">
        <v>52</v>
      </c>
      <c r="B71" s="119" t="s">
        <v>368</v>
      </c>
      <c r="C71" s="118" t="s">
        <v>344</v>
      </c>
      <c r="D71" s="120">
        <v>101</v>
      </c>
      <c r="E71" s="121" t="s">
        <v>330</v>
      </c>
      <c r="F71" s="122" t="s">
        <v>5</v>
      </c>
      <c r="G71" s="120">
        <v>3559.7000000000003</v>
      </c>
      <c r="H71" s="120">
        <v>3559.7000000000003</v>
      </c>
      <c r="I71" s="120">
        <v>3373.3</v>
      </c>
      <c r="J71" s="120">
        <v>195.8</v>
      </c>
      <c r="K71" s="120">
        <v>0</v>
      </c>
      <c r="L71" s="120">
        <v>0</v>
      </c>
      <c r="M71" s="120">
        <v>462.2</v>
      </c>
      <c r="N71" s="120">
        <v>266.39999999999998</v>
      </c>
      <c r="O71" s="120">
        <v>195.8</v>
      </c>
      <c r="P71" s="120">
        <v>0</v>
      </c>
      <c r="Q71" s="120">
        <v>0</v>
      </c>
      <c r="R71" s="120">
        <v>0</v>
      </c>
      <c r="S71" s="120">
        <v>231.93137706043436</v>
      </c>
      <c r="T71" s="120">
        <v>231.93137706043436</v>
      </c>
      <c r="U71" s="120">
        <v>0</v>
      </c>
      <c r="V71" s="120">
        <v>113.02817133333333</v>
      </c>
      <c r="W71" s="120">
        <v>50.524529000000001</v>
      </c>
      <c r="X71" s="120">
        <v>62.503642333333332</v>
      </c>
      <c r="Y71" s="120">
        <v>0</v>
      </c>
      <c r="Z71" s="120">
        <v>0</v>
      </c>
      <c r="AA71" s="123">
        <v>0.188</v>
      </c>
      <c r="AB71" s="124">
        <v>155000</v>
      </c>
      <c r="AC71" s="124">
        <v>109000</v>
      </c>
      <c r="AD71" s="124">
        <v>0</v>
      </c>
      <c r="AE71" s="186" t="s">
        <v>387</v>
      </c>
      <c r="AF71" s="125" t="s">
        <v>5</v>
      </c>
      <c r="AG71" s="126">
        <v>0</v>
      </c>
      <c r="AH71" s="126">
        <v>0</v>
      </c>
      <c r="AI71" s="126">
        <v>0</v>
      </c>
      <c r="AJ71" s="126">
        <v>0</v>
      </c>
      <c r="AK71" s="126">
        <v>0</v>
      </c>
      <c r="AL71" s="126">
        <v>0</v>
      </c>
    </row>
    <row r="72" spans="1:38" s="169" customFormat="1" ht="10.5" customHeight="1" x14ac:dyDescent="0.25">
      <c r="A72" s="128"/>
      <c r="B72" s="129" t="s">
        <v>457</v>
      </c>
      <c r="C72" s="128"/>
      <c r="D72" s="130">
        <v>693</v>
      </c>
      <c r="E72" s="128"/>
      <c r="F72" s="128"/>
      <c r="G72" s="130">
        <v>25542.7</v>
      </c>
      <c r="H72" s="130">
        <v>25542.7</v>
      </c>
      <c r="I72" s="130">
        <v>19052.45</v>
      </c>
      <c r="J72" s="130">
        <v>403.45000000000005</v>
      </c>
      <c r="K72" s="130">
        <v>0</v>
      </c>
      <c r="L72" s="130">
        <v>449</v>
      </c>
      <c r="M72" s="130">
        <v>930.7</v>
      </c>
      <c r="N72" s="130">
        <v>538.20000000000005</v>
      </c>
      <c r="O72" s="130">
        <v>392.5</v>
      </c>
      <c r="P72" s="130">
        <v>0</v>
      </c>
      <c r="Q72" s="130">
        <v>0</v>
      </c>
      <c r="R72" s="130">
        <v>0</v>
      </c>
      <c r="S72" s="130">
        <v>1910.42278765785</v>
      </c>
      <c r="T72" s="130">
        <v>1894.4768143054414</v>
      </c>
      <c r="U72" s="130">
        <v>15.945973352408618</v>
      </c>
      <c r="V72" s="130">
        <v>1615.6119269999999</v>
      </c>
      <c r="W72" s="130">
        <v>154.89105899999998</v>
      </c>
      <c r="X72" s="130">
        <v>159.90400399999999</v>
      </c>
      <c r="Y72" s="130">
        <v>1300.8168639999999</v>
      </c>
      <c r="Z72" s="130">
        <v>837.79762995999999</v>
      </c>
      <c r="AA72" s="131"/>
      <c r="AB72" s="130"/>
      <c r="AC72" s="130"/>
      <c r="AD72" s="130"/>
      <c r="AE72" s="131"/>
      <c r="AF72" s="131"/>
      <c r="AG72" s="132">
        <v>62.306883960210307</v>
      </c>
      <c r="AH72" s="132">
        <v>62.306883960210307</v>
      </c>
      <c r="AI72" s="132">
        <v>0</v>
      </c>
      <c r="AJ72" s="132">
        <v>0</v>
      </c>
      <c r="AK72" s="132">
        <v>0</v>
      </c>
      <c r="AL72" s="132">
        <v>0</v>
      </c>
    </row>
    <row r="73" spans="1:38" s="169" customFormat="1" ht="10.5" customHeight="1" x14ac:dyDescent="0.25">
      <c r="A73" s="128"/>
      <c r="B73" s="129" t="s">
        <v>458</v>
      </c>
      <c r="C73" s="128"/>
      <c r="D73" s="130">
        <v>281060</v>
      </c>
      <c r="E73" s="128"/>
      <c r="F73" s="128"/>
      <c r="G73" s="130">
        <v>10389135.220814433</v>
      </c>
      <c r="H73" s="130">
        <v>9545266.6537728067</v>
      </c>
      <c r="I73" s="130">
        <v>7836692.0390298357</v>
      </c>
      <c r="J73" s="130">
        <v>710263.86199999996</v>
      </c>
      <c r="K73" s="130">
        <v>1500</v>
      </c>
      <c r="L73" s="130">
        <v>57049</v>
      </c>
      <c r="M73" s="130">
        <v>5485015.1176965013</v>
      </c>
      <c r="N73" s="130">
        <v>4310506.6156965028</v>
      </c>
      <c r="O73" s="130">
        <v>467573.38200000004</v>
      </c>
      <c r="P73" s="130">
        <v>0</v>
      </c>
      <c r="Q73" s="130">
        <v>37239</v>
      </c>
      <c r="R73" s="130">
        <v>706935.12</v>
      </c>
      <c r="S73" s="130">
        <v>1046161.8221344657</v>
      </c>
      <c r="T73" s="130">
        <v>243766.58600162764</v>
      </c>
      <c r="U73" s="130">
        <v>802395.2361328383</v>
      </c>
      <c r="V73" s="130">
        <v>1603046.2159912335</v>
      </c>
      <c r="W73" s="130">
        <v>83971.835706960002</v>
      </c>
      <c r="X73" s="130">
        <v>1407008.0719091634</v>
      </c>
      <c r="Y73" s="130">
        <v>112066.30837510999</v>
      </c>
      <c r="Z73" s="130">
        <v>115584.69229683554</v>
      </c>
      <c r="AA73" s="131"/>
      <c r="AB73" s="130"/>
      <c r="AC73" s="130"/>
      <c r="AD73" s="130"/>
      <c r="AE73" s="131"/>
      <c r="AF73" s="131"/>
      <c r="AG73" s="132">
        <v>169070.16514940289</v>
      </c>
      <c r="AH73" s="132">
        <v>106738.17230300883</v>
      </c>
      <c r="AI73" s="132">
        <v>62331.992846394016</v>
      </c>
      <c r="AJ73" s="132">
        <v>50730.820182213523</v>
      </c>
      <c r="AK73" s="132">
        <v>34444.057089940565</v>
      </c>
      <c r="AL73" s="132">
        <v>26647.813605884294</v>
      </c>
    </row>
    <row r="74" spans="1:38" s="169" customFormat="1" x14ac:dyDescent="0.25">
      <c r="A74" s="111"/>
      <c r="B74"/>
      <c r="C74"/>
      <c r="D74" s="111"/>
      <c r="E74" s="111"/>
      <c r="F74" s="134"/>
      <c r="G74" s="111"/>
      <c r="H74" s="111"/>
      <c r="I74" s="111"/>
      <c r="J74" s="111"/>
      <c r="K74" s="111"/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  <c r="AA74" s="111"/>
      <c r="AB74" s="135"/>
      <c r="AC74" s="135"/>
      <c r="AD74" s="135"/>
      <c r="AE74" s="111"/>
      <c r="AF74" s="172"/>
      <c r="AG74" s="173"/>
      <c r="AH74" s="174"/>
      <c r="AI74" s="174"/>
      <c r="AJ74" s="174"/>
      <c r="AK74" s="174"/>
      <c r="AL74" s="175"/>
    </row>
    <row r="75" spans="1:38" s="169" customFormat="1" x14ac:dyDescent="0.25">
      <c r="A75" s="111"/>
      <c r="B75"/>
      <c r="C75"/>
      <c r="D75" s="136"/>
      <c r="E75" s="111"/>
      <c r="F75" s="134"/>
      <c r="G75" s="136"/>
      <c r="H75" s="111"/>
      <c r="I75" s="136"/>
      <c r="J75" s="111"/>
      <c r="K75" s="111"/>
      <c r="L75" s="111"/>
      <c r="M75" s="137"/>
      <c r="N75" s="136"/>
      <c r="O75" s="137"/>
      <c r="P75" s="136"/>
      <c r="Q75" s="137"/>
      <c r="R75" s="137"/>
      <c r="S75" s="136"/>
      <c r="T75" s="136"/>
      <c r="U75" s="136"/>
      <c r="V75" s="136"/>
      <c r="W75" s="111"/>
      <c r="X75" s="136"/>
      <c r="Y75" s="136"/>
      <c r="Z75" s="111"/>
      <c r="AA75" s="111"/>
      <c r="AB75" s="135"/>
      <c r="AC75" s="135"/>
      <c r="AD75" s="135"/>
      <c r="AE75" s="111"/>
      <c r="AF75" s="176"/>
      <c r="AG75" s="177"/>
      <c r="AH75" s="177"/>
      <c r="AI75" s="178"/>
      <c r="AJ75" s="178"/>
      <c r="AK75" s="178"/>
      <c r="AL75" s="178"/>
    </row>
    <row r="76" spans="1:38" s="169" customFormat="1" x14ac:dyDescent="0.25">
      <c r="A76" s="111"/>
      <c r="B76"/>
      <c r="C76"/>
      <c r="D76" s="111"/>
      <c r="E76" s="111"/>
      <c r="F76" s="134"/>
      <c r="G76" s="111"/>
      <c r="H76" s="111"/>
      <c r="I76" s="111"/>
      <c r="J76" s="111"/>
      <c r="K76" s="111"/>
      <c r="L76" s="111"/>
      <c r="M76" s="137"/>
      <c r="N76" s="111"/>
      <c r="O76" s="137"/>
      <c r="P76" s="111"/>
      <c r="Q76" s="137"/>
      <c r="R76" s="137"/>
      <c r="S76" s="111"/>
      <c r="T76" s="111"/>
      <c r="U76" s="136"/>
      <c r="V76" s="136"/>
      <c r="W76" s="179"/>
      <c r="X76" s="111"/>
      <c r="Y76" s="111"/>
      <c r="Z76" s="111"/>
      <c r="AA76" s="111"/>
      <c r="AB76" s="135"/>
      <c r="AC76" s="135"/>
      <c r="AD76" s="135"/>
      <c r="AE76" s="111"/>
      <c r="AF76" s="180"/>
      <c r="AG76" s="180"/>
      <c r="AH76" s="180"/>
      <c r="AI76" s="181"/>
      <c r="AJ76" s="181"/>
      <c r="AK76" s="181"/>
      <c r="AL76" s="181"/>
    </row>
    <row r="77" spans="1:38" s="169" customFormat="1" x14ac:dyDescent="0.25">
      <c r="A77" s="111"/>
      <c r="B77"/>
      <c r="C77"/>
      <c r="D77" s="111"/>
      <c r="E77" s="111"/>
      <c r="F77" s="134"/>
      <c r="G77" s="111"/>
      <c r="H77" s="111"/>
      <c r="I77" s="111"/>
      <c r="J77" s="111"/>
      <c r="K77" s="111"/>
      <c r="L77" s="111"/>
      <c r="M77" s="111"/>
      <c r="N77" s="111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  <c r="AA77" s="111"/>
      <c r="AB77" s="135"/>
      <c r="AC77" s="135"/>
      <c r="AD77" s="135"/>
      <c r="AE77" s="111"/>
      <c r="AF77" s="182"/>
      <c r="AG77" s="183"/>
      <c r="AH77" s="183"/>
      <c r="AI77" s="183"/>
      <c r="AJ77" s="183"/>
      <c r="AK77" s="183"/>
      <c r="AL77" s="183"/>
    </row>
    <row r="78" spans="1:38" s="169" customFormat="1" ht="63" customHeight="1" x14ac:dyDescent="0.25">
      <c r="A78" s="138" t="s">
        <v>13</v>
      </c>
      <c r="B78" s="138" t="s">
        <v>432</v>
      </c>
      <c r="C78" s="138" t="s">
        <v>301</v>
      </c>
      <c r="D78" s="143" t="s">
        <v>302</v>
      </c>
      <c r="E78" s="138" t="s">
        <v>303</v>
      </c>
      <c r="F78" s="138" t="s">
        <v>304</v>
      </c>
      <c r="G78" s="111"/>
      <c r="H78" s="111"/>
      <c r="I78" s="111"/>
      <c r="J78" s="111"/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36"/>
      <c r="V78" s="111"/>
      <c r="W78" s="111"/>
      <c r="X78" s="111"/>
      <c r="Y78" s="111"/>
      <c r="Z78" s="111"/>
      <c r="AA78" s="111"/>
      <c r="AB78" s="135"/>
      <c r="AC78" s="135"/>
      <c r="AD78" s="135"/>
      <c r="AE78" s="111"/>
      <c r="AF78" s="182"/>
      <c r="AG78" s="183"/>
      <c r="AH78" s="183"/>
      <c r="AI78" s="183"/>
      <c r="AJ78" s="183"/>
      <c r="AK78" s="183"/>
      <c r="AL78" s="183"/>
    </row>
    <row r="79" spans="1:38" s="169" customFormat="1" ht="10.5" customHeight="1" x14ac:dyDescent="0.25">
      <c r="A79" s="138"/>
      <c r="B79" s="144" t="s">
        <v>427</v>
      </c>
      <c r="C79" s="138"/>
      <c r="D79" s="143"/>
      <c r="E79" s="138"/>
      <c r="F79" s="138"/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36"/>
      <c r="V79" s="111"/>
      <c r="W79" s="111"/>
      <c r="X79" s="111"/>
      <c r="Y79" s="111"/>
      <c r="Z79" s="111"/>
      <c r="AA79" s="111"/>
      <c r="AB79" s="135"/>
      <c r="AC79" s="135"/>
      <c r="AD79" s="135"/>
      <c r="AE79" s="111"/>
      <c r="AF79" s="184"/>
      <c r="AG79" s="183"/>
      <c r="AH79" s="183"/>
      <c r="AI79" s="183"/>
      <c r="AJ79" s="183"/>
      <c r="AK79" s="183"/>
      <c r="AL79" s="183"/>
    </row>
    <row r="80" spans="1:38" ht="10.5" customHeight="1" x14ac:dyDescent="0.25">
      <c r="A80" s="145">
        <v>53</v>
      </c>
      <c r="B80" s="119" t="s">
        <v>369</v>
      </c>
      <c r="C80" s="118" t="s">
        <v>135</v>
      </c>
      <c r="D80" s="133">
        <v>673</v>
      </c>
      <c r="E80" s="118" t="s">
        <v>329</v>
      </c>
      <c r="F80" s="148">
        <v>0.50249999999999995</v>
      </c>
      <c r="G80" s="111"/>
      <c r="H80" s="111"/>
      <c r="I80" s="146"/>
      <c r="J80" s="147"/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36"/>
      <c r="V80" s="111"/>
      <c r="W80" s="111"/>
      <c r="X80" s="111"/>
      <c r="Y80" s="111"/>
      <c r="Z80" s="111"/>
      <c r="AA80" s="111"/>
      <c r="AB80" s="135"/>
      <c r="AC80" s="135"/>
      <c r="AD80" s="135"/>
      <c r="AE80" s="111"/>
      <c r="AF80" s="184"/>
      <c r="AG80" s="183"/>
      <c r="AH80" s="183"/>
      <c r="AI80" s="183"/>
      <c r="AJ80" s="183"/>
      <c r="AK80" s="183"/>
      <c r="AL80" s="183"/>
    </row>
    <row r="81" spans="1:38" ht="10.5" customHeight="1" x14ac:dyDescent="0.25">
      <c r="A81" s="145">
        <v>54</v>
      </c>
      <c r="B81" s="119" t="s">
        <v>370</v>
      </c>
      <c r="C81" s="118" t="s">
        <v>135</v>
      </c>
      <c r="D81" s="133">
        <v>1025</v>
      </c>
      <c r="E81" s="118" t="s">
        <v>330</v>
      </c>
      <c r="F81" s="148">
        <v>0.8236</v>
      </c>
      <c r="G81" s="111"/>
      <c r="H81" s="111"/>
      <c r="I81" s="136"/>
      <c r="J81" s="149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36"/>
      <c r="V81" s="111"/>
      <c r="W81" s="111"/>
      <c r="X81" s="111"/>
      <c r="Y81" s="111"/>
      <c r="Z81" s="111"/>
      <c r="AA81" s="111"/>
      <c r="AB81" s="135"/>
      <c r="AC81" s="135"/>
      <c r="AD81" s="135"/>
      <c r="AE81" s="111"/>
      <c r="AF81" s="184"/>
      <c r="AG81" s="183"/>
      <c r="AH81" s="183"/>
      <c r="AI81" s="183"/>
      <c r="AJ81" s="183"/>
      <c r="AK81" s="183"/>
      <c r="AL81" s="183"/>
    </row>
    <row r="82" spans="1:38" ht="10.5" customHeight="1" x14ac:dyDescent="0.25">
      <c r="A82" s="145">
        <v>55</v>
      </c>
      <c r="B82" s="119" t="s">
        <v>461</v>
      </c>
      <c r="C82" s="118" t="s">
        <v>460</v>
      </c>
      <c r="D82" s="133">
        <v>1530</v>
      </c>
      <c r="E82" s="121" t="s">
        <v>330</v>
      </c>
      <c r="F82" s="122">
        <v>254.26439999999999</v>
      </c>
      <c r="G82" s="111"/>
      <c r="H82" s="111"/>
      <c r="I82" s="136"/>
      <c r="J82" s="149"/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36"/>
      <c r="V82" s="111"/>
      <c r="W82" s="111"/>
      <c r="X82" s="111"/>
      <c r="Y82" s="111"/>
      <c r="Z82" s="111"/>
      <c r="AA82" s="111"/>
      <c r="AB82" s="135"/>
      <c r="AC82" s="135"/>
      <c r="AD82" s="135"/>
      <c r="AE82" s="111"/>
      <c r="AF82" s="184"/>
      <c r="AG82" s="183"/>
      <c r="AH82" s="183"/>
      <c r="AI82" s="183"/>
      <c r="AJ82" s="183"/>
      <c r="AK82" s="183"/>
      <c r="AL82" s="183"/>
    </row>
    <row r="83" spans="1:38" ht="10.5" customHeight="1" x14ac:dyDescent="0.25">
      <c r="A83" s="128"/>
      <c r="B83" s="129" t="s">
        <v>462</v>
      </c>
      <c r="C83" s="128"/>
      <c r="D83" s="130">
        <v>3228</v>
      </c>
      <c r="E83" s="128"/>
      <c r="F83" s="128"/>
      <c r="G83" s="111"/>
      <c r="H83" s="111"/>
      <c r="I83" s="136"/>
      <c r="J83" s="111"/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36"/>
      <c r="V83" s="111"/>
      <c r="W83" s="111"/>
      <c r="X83" s="111"/>
      <c r="Y83" s="111"/>
      <c r="Z83" s="111"/>
      <c r="AA83" s="111"/>
      <c r="AB83" s="135"/>
      <c r="AC83" s="135"/>
      <c r="AD83" s="135"/>
      <c r="AE83" s="111"/>
      <c r="AF83" s="184"/>
      <c r="AG83" s="183"/>
      <c r="AH83" s="183"/>
      <c r="AI83" s="183"/>
      <c r="AJ83" s="183"/>
      <c r="AK83" s="183"/>
      <c r="AL83" s="183"/>
    </row>
    <row r="84" spans="1:38" x14ac:dyDescent="0.25">
      <c r="A84" s="141"/>
      <c r="B84" s="141"/>
      <c r="C84" s="141"/>
      <c r="D84" s="141"/>
      <c r="E84" s="141"/>
      <c r="F84" s="141"/>
      <c r="G84" s="141"/>
      <c r="H84" s="111"/>
      <c r="I84" s="150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  <c r="Y84" s="141"/>
      <c r="Z84" s="141"/>
      <c r="AA84" s="141"/>
      <c r="AB84" s="141"/>
      <c r="AC84" s="141"/>
      <c r="AD84" s="141"/>
      <c r="AE84" s="141"/>
      <c r="AF84" s="182"/>
      <c r="AG84" s="183"/>
      <c r="AH84" s="183"/>
      <c r="AI84" s="183"/>
      <c r="AJ84" s="183"/>
      <c r="AK84" s="183"/>
      <c r="AL84" s="183"/>
    </row>
    <row r="85" spans="1:38" x14ac:dyDescent="0.25">
      <c r="A85" s="141"/>
      <c r="B85" s="141"/>
      <c r="C85" s="141"/>
      <c r="D85" s="141"/>
      <c r="E85" s="141"/>
      <c r="F85" s="141"/>
      <c r="G85" s="141"/>
      <c r="H85" s="111"/>
      <c r="I85" s="150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  <c r="Y85" s="141"/>
      <c r="Z85" s="141"/>
      <c r="AA85" s="141"/>
      <c r="AB85" s="141"/>
      <c r="AC85" s="141"/>
      <c r="AD85" s="141"/>
      <c r="AE85" s="141"/>
      <c r="AF85" s="170"/>
      <c r="AG85" s="171"/>
      <c r="AH85" s="171"/>
      <c r="AI85" s="171"/>
      <c r="AJ85" s="171"/>
      <c r="AK85" s="171"/>
      <c r="AL85" s="171"/>
    </row>
    <row r="86" spans="1:38" ht="42" customHeight="1" x14ac:dyDescent="0.25">
      <c r="A86" s="140"/>
      <c r="B86" s="140" t="s">
        <v>371</v>
      </c>
      <c r="C86" s="114" t="s">
        <v>302</v>
      </c>
      <c r="D86" s="140" t="s">
        <v>393</v>
      </c>
      <c r="E86" s="141"/>
      <c r="F86" s="141"/>
      <c r="G86" s="141"/>
      <c r="H86" s="111"/>
      <c r="I86" s="150"/>
      <c r="J86" s="111"/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  <c r="AA86" s="111"/>
      <c r="AB86" s="135"/>
      <c r="AC86" s="135"/>
      <c r="AD86" s="135"/>
      <c r="AE86" s="111"/>
      <c r="AF86" s="180"/>
      <c r="AG86" s="180"/>
      <c r="AH86" s="180"/>
      <c r="AI86" s="181"/>
      <c r="AJ86" s="181"/>
      <c r="AK86" s="181"/>
      <c r="AL86" s="181"/>
    </row>
    <row r="87" spans="1:38" ht="10.5" customHeight="1" x14ac:dyDescent="0.25">
      <c r="A87" s="151"/>
      <c r="B87" s="151" t="s">
        <v>463</v>
      </c>
      <c r="C87" s="152">
        <v>284288</v>
      </c>
      <c r="D87" s="152">
        <v>5485015.1176965013</v>
      </c>
      <c r="E87" s="141"/>
      <c r="F87" s="141"/>
      <c r="G87" s="141"/>
      <c r="H87" s="127"/>
      <c r="I87" s="146"/>
      <c r="J87" s="153"/>
      <c r="K87" s="127"/>
      <c r="L87" s="127"/>
      <c r="M87" s="127"/>
      <c r="N87" s="127"/>
      <c r="O87" s="127"/>
      <c r="P87" s="127"/>
      <c r="Q87" s="127"/>
      <c r="R87" s="127"/>
      <c r="S87" s="127"/>
      <c r="T87" s="127"/>
      <c r="U87" s="127"/>
      <c r="V87" s="127"/>
      <c r="W87" s="127"/>
      <c r="X87" s="127"/>
      <c r="Y87" s="127"/>
      <c r="Z87" s="127"/>
      <c r="AA87" s="127"/>
      <c r="AB87" s="142"/>
      <c r="AC87" s="142"/>
      <c r="AD87" s="142"/>
      <c r="AE87" s="127"/>
      <c r="AF87" s="184"/>
      <c r="AG87" s="183"/>
      <c r="AH87" s="183"/>
      <c r="AI87" s="183"/>
      <c r="AJ87" s="183"/>
      <c r="AK87" s="183"/>
      <c r="AL87" s="183"/>
    </row>
    <row r="88" spans="1:38" x14ac:dyDescent="0.25">
      <c r="A88" s="141"/>
      <c r="B88" s="141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  <c r="Y88" s="141"/>
      <c r="Z88" s="141"/>
      <c r="AA88" s="141"/>
      <c r="AB88" s="141"/>
      <c r="AC88" s="141"/>
      <c r="AD88" s="141"/>
      <c r="AE88" s="141"/>
      <c r="AF88" s="184"/>
      <c r="AG88" s="183"/>
      <c r="AH88" s="183"/>
      <c r="AI88" s="183"/>
      <c r="AJ88" s="183"/>
      <c r="AK88" s="183"/>
      <c r="AL88" s="183"/>
    </row>
    <row r="89" spans="1:38" ht="10.5" customHeight="1" x14ac:dyDescent="0.25">
      <c r="A89" s="154"/>
      <c r="B89" s="155" t="s">
        <v>372</v>
      </c>
      <c r="C89" s="154"/>
      <c r="D89" s="156"/>
      <c r="E89" s="141"/>
      <c r="F89" s="141"/>
      <c r="G89" s="141"/>
      <c r="H89" s="141"/>
      <c r="I89" s="111"/>
      <c r="J89" s="111"/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  <c r="AA89" s="111"/>
      <c r="AB89" s="135"/>
      <c r="AC89" s="135"/>
      <c r="AD89" s="135"/>
      <c r="AE89" s="111"/>
      <c r="AF89" s="184"/>
      <c r="AG89" s="183"/>
      <c r="AH89" s="183"/>
      <c r="AI89" s="183"/>
      <c r="AJ89" s="183"/>
      <c r="AK89" s="183"/>
      <c r="AL89" s="183"/>
    </row>
    <row r="90" spans="1:38" ht="73.5" customHeight="1" x14ac:dyDescent="0.25">
      <c r="A90" s="140" t="s">
        <v>13</v>
      </c>
      <c r="B90" s="140" t="s">
        <v>373</v>
      </c>
      <c r="C90" s="140" t="s">
        <v>301</v>
      </c>
      <c r="D90" s="114" t="s">
        <v>302</v>
      </c>
      <c r="E90" s="139" t="s">
        <v>394</v>
      </c>
      <c r="F90" s="140" t="s">
        <v>395</v>
      </c>
      <c r="G90" s="114" t="s">
        <v>459</v>
      </c>
      <c r="H90" s="114" t="s">
        <v>374</v>
      </c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  <c r="AA90" s="111"/>
      <c r="AB90" s="135"/>
      <c r="AC90" s="135"/>
      <c r="AD90" s="135"/>
      <c r="AE90" s="111"/>
      <c r="AF90" s="182"/>
      <c r="AG90" s="183"/>
      <c r="AH90" s="183"/>
      <c r="AI90" s="183"/>
      <c r="AJ90" s="183"/>
      <c r="AK90" s="183"/>
      <c r="AL90" s="183"/>
    </row>
    <row r="91" spans="1:38" ht="10.5" customHeight="1" x14ac:dyDescent="0.25">
      <c r="A91" s="168"/>
      <c r="B91" s="157" t="s">
        <v>375</v>
      </c>
      <c r="C91" s="140"/>
      <c r="D91" s="140"/>
      <c r="E91" s="140"/>
      <c r="F91" s="140"/>
      <c r="G91" s="140"/>
      <c r="H91" s="140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  <c r="AA91" s="111"/>
      <c r="AB91" s="135"/>
      <c r="AC91" s="135"/>
      <c r="AD91" s="135"/>
      <c r="AE91" s="111"/>
      <c r="AF91" s="184"/>
      <c r="AG91" s="183"/>
      <c r="AH91" s="183"/>
      <c r="AI91" s="183"/>
      <c r="AJ91" s="183"/>
      <c r="AK91" s="183"/>
      <c r="AL91" s="183"/>
    </row>
    <row r="92" spans="1:38" ht="10.5" customHeight="1" x14ac:dyDescent="0.25">
      <c r="A92" s="118">
        <v>56</v>
      </c>
      <c r="B92" s="119" t="s">
        <v>376</v>
      </c>
      <c r="C92" s="118" t="s">
        <v>136</v>
      </c>
      <c r="D92" s="133">
        <v>1645</v>
      </c>
      <c r="E92" s="133">
        <v>9251</v>
      </c>
      <c r="F92" s="133">
        <v>9251</v>
      </c>
      <c r="G92" s="133">
        <v>315.30780800000002</v>
      </c>
      <c r="H92" s="133">
        <v>33200</v>
      </c>
      <c r="I92" s="127"/>
      <c r="J92" s="127"/>
      <c r="K92" s="127"/>
      <c r="L92" s="127"/>
      <c r="M92" s="127"/>
      <c r="N92" s="127"/>
      <c r="O92" s="127"/>
      <c r="P92" s="127"/>
      <c r="Q92" s="127"/>
      <c r="R92" s="127"/>
      <c r="S92" s="127"/>
      <c r="T92" s="127"/>
      <c r="U92" s="127"/>
      <c r="V92" s="127"/>
      <c r="W92" s="127"/>
      <c r="X92" s="127"/>
      <c r="Y92" s="127"/>
      <c r="Z92" s="127"/>
      <c r="AA92" s="127"/>
      <c r="AB92" s="142"/>
      <c r="AC92" s="142"/>
      <c r="AD92" s="142"/>
      <c r="AE92" s="127"/>
      <c r="AF92" s="184"/>
      <c r="AG92" s="183"/>
      <c r="AH92" s="183"/>
      <c r="AI92" s="183"/>
      <c r="AJ92" s="183"/>
      <c r="AK92" s="183"/>
      <c r="AL92" s="183"/>
    </row>
    <row r="93" spans="1:38" ht="10.5" customHeight="1" x14ac:dyDescent="0.25">
      <c r="A93" s="128"/>
      <c r="B93" s="151" t="s">
        <v>464</v>
      </c>
      <c r="C93" s="128"/>
      <c r="D93" s="130">
        <v>1645</v>
      </c>
      <c r="E93" s="130">
        <v>9251</v>
      </c>
      <c r="F93" s="130">
        <v>9251</v>
      </c>
      <c r="G93" s="130"/>
      <c r="H93" s="130"/>
      <c r="I93" s="127"/>
      <c r="J93" s="127"/>
      <c r="K93" s="127"/>
      <c r="L93" s="127"/>
      <c r="M93" s="127"/>
      <c r="N93" s="127"/>
      <c r="O93" s="127"/>
      <c r="P93" s="127"/>
      <c r="Q93" s="127"/>
      <c r="R93" s="127"/>
      <c r="S93" s="127"/>
      <c r="T93" s="127"/>
      <c r="U93" s="127"/>
      <c r="V93" s="127"/>
      <c r="W93" s="127"/>
      <c r="X93" s="127"/>
      <c r="Y93" s="127"/>
      <c r="Z93" s="127"/>
      <c r="AA93" s="127"/>
      <c r="AB93" s="142"/>
      <c r="AC93" s="142"/>
      <c r="AD93" s="142"/>
      <c r="AE93" s="127"/>
      <c r="AF93" s="184"/>
      <c r="AG93" s="183"/>
      <c r="AH93" s="183"/>
      <c r="AI93" s="183"/>
      <c r="AJ93" s="183"/>
      <c r="AK93" s="183"/>
      <c r="AL93" s="183"/>
    </row>
    <row r="94" spans="1:38" ht="10.5" customHeight="1" x14ac:dyDescent="0.25">
      <c r="A94" s="128"/>
      <c r="B94" s="151" t="s">
        <v>465</v>
      </c>
      <c r="C94" s="128"/>
      <c r="D94" s="130">
        <v>19041</v>
      </c>
      <c r="E94" s="130"/>
      <c r="F94" s="130"/>
      <c r="G94" s="130"/>
      <c r="H94" s="130"/>
      <c r="I94" s="111"/>
      <c r="J94" s="111"/>
      <c r="K94" s="111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  <c r="X94" s="111"/>
      <c r="Y94" s="111"/>
      <c r="Z94" s="111"/>
      <c r="AA94" s="111"/>
      <c r="AB94" s="135"/>
      <c r="AC94" s="135"/>
      <c r="AD94" s="135"/>
      <c r="AE94" s="111"/>
      <c r="AF94" s="184"/>
      <c r="AG94" s="183"/>
      <c r="AH94" s="183"/>
      <c r="AI94" s="183"/>
      <c r="AJ94" s="183"/>
      <c r="AK94" s="183"/>
      <c r="AL94" s="183"/>
    </row>
    <row r="95" spans="1:38" ht="10.5" customHeight="1" x14ac:dyDescent="0.25">
      <c r="A95" s="128"/>
      <c r="B95" s="151" t="s">
        <v>466</v>
      </c>
      <c r="C95" s="128"/>
      <c r="D95" s="130">
        <v>20686</v>
      </c>
      <c r="E95" s="131"/>
      <c r="F95" s="131"/>
      <c r="G95" s="131"/>
      <c r="H95" s="131"/>
      <c r="I95" s="127"/>
      <c r="J95" s="127"/>
      <c r="K95" s="127"/>
      <c r="L95" s="127"/>
      <c r="M95" s="127"/>
      <c r="N95" s="127"/>
      <c r="O95" s="127"/>
      <c r="P95" s="127"/>
      <c r="Q95" s="127"/>
      <c r="R95" s="127"/>
      <c r="S95" s="127"/>
      <c r="T95" s="127"/>
      <c r="U95" s="127"/>
      <c r="V95" s="127"/>
      <c r="W95" s="127"/>
      <c r="X95" s="127"/>
      <c r="Y95" s="127"/>
      <c r="Z95" s="127"/>
      <c r="AA95" s="127"/>
      <c r="AB95" s="142"/>
      <c r="AC95" s="142"/>
      <c r="AD95" s="142"/>
      <c r="AE95" s="127"/>
      <c r="AF95" s="184"/>
      <c r="AG95" s="183"/>
      <c r="AH95" s="183"/>
      <c r="AI95" s="183"/>
      <c r="AJ95" s="183"/>
      <c r="AK95" s="183"/>
      <c r="AL95" s="183"/>
    </row>
    <row r="96" spans="1:38" x14ac:dyDescent="0.25">
      <c r="B96" s="111"/>
      <c r="C96" s="111"/>
      <c r="D96" s="111"/>
      <c r="E96" s="111"/>
      <c r="F96" s="134"/>
      <c r="G96" s="111"/>
      <c r="H96" s="111"/>
      <c r="I96" s="111"/>
      <c r="J96" s="111"/>
      <c r="K96" s="111"/>
      <c r="L96" s="111"/>
      <c r="M96" s="111"/>
      <c r="N96" s="111"/>
      <c r="O96" s="111"/>
      <c r="P96" s="111"/>
      <c r="Q96" s="111"/>
      <c r="R96" s="111"/>
      <c r="S96" s="111"/>
      <c r="T96" s="111"/>
      <c r="U96" s="111"/>
      <c r="V96" s="111"/>
      <c r="W96" s="111"/>
      <c r="X96" s="111"/>
      <c r="Y96" s="111"/>
      <c r="Z96" s="111"/>
      <c r="AA96" s="111"/>
      <c r="AB96" s="135"/>
      <c r="AC96" s="135"/>
      <c r="AD96" s="135"/>
      <c r="AE96" s="111"/>
      <c r="AF96" s="184"/>
      <c r="AG96" s="183"/>
      <c r="AH96" s="183"/>
      <c r="AI96" s="183"/>
      <c r="AJ96" s="183"/>
      <c r="AK96" s="183"/>
      <c r="AL96" s="183"/>
    </row>
    <row r="97" spans="1:38" ht="31.5" customHeight="1" x14ac:dyDescent="0.25">
      <c r="A97" s="140"/>
      <c r="B97" s="140" t="s">
        <v>377</v>
      </c>
      <c r="C97" s="140"/>
      <c r="D97" s="114" t="s">
        <v>302</v>
      </c>
      <c r="E97" s="111"/>
      <c r="F97" s="134"/>
      <c r="G97" s="111"/>
      <c r="H97" s="111"/>
      <c r="I97" s="111"/>
      <c r="J97" s="111"/>
      <c r="K97" s="111"/>
      <c r="L97" s="111"/>
      <c r="M97" s="111"/>
      <c r="N97" s="111"/>
      <c r="O97" s="111"/>
      <c r="P97" s="111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35"/>
      <c r="AC97" s="135"/>
      <c r="AD97" s="135"/>
      <c r="AE97" s="111"/>
      <c r="AF97" s="184"/>
      <c r="AG97" s="183"/>
      <c r="AH97" s="183"/>
      <c r="AI97" s="183"/>
      <c r="AJ97" s="183"/>
      <c r="AK97" s="183"/>
      <c r="AL97" s="183"/>
    </row>
    <row r="98" spans="1:38" ht="10.5" customHeight="1" x14ac:dyDescent="0.25">
      <c r="A98" s="158"/>
      <c r="B98" s="159" t="s">
        <v>378</v>
      </c>
      <c r="C98" s="160"/>
      <c r="D98" s="161">
        <v>304974</v>
      </c>
      <c r="E98" s="111"/>
      <c r="F98" s="134"/>
      <c r="G98" s="111"/>
      <c r="H98" s="111"/>
      <c r="I98" s="146"/>
      <c r="J98" s="153"/>
      <c r="K98" s="111"/>
      <c r="L98" s="111"/>
      <c r="M98" s="111"/>
      <c r="N98" s="111"/>
      <c r="O98" s="111"/>
      <c r="P98" s="111"/>
      <c r="Q98" s="111"/>
      <c r="R98" s="111"/>
      <c r="S98" s="111"/>
      <c r="T98" s="111"/>
      <c r="U98" s="111"/>
      <c r="V98" s="111"/>
      <c r="W98" s="111"/>
      <c r="X98" s="111"/>
      <c r="Y98" s="111"/>
      <c r="Z98" s="111"/>
      <c r="AA98" s="111"/>
      <c r="AB98" s="135"/>
      <c r="AC98" s="135"/>
      <c r="AD98" s="135"/>
      <c r="AE98" s="111"/>
      <c r="AF98" s="184"/>
      <c r="AG98" s="183"/>
      <c r="AH98" s="183"/>
      <c r="AI98" s="183"/>
      <c r="AJ98" s="183"/>
      <c r="AK98" s="183"/>
      <c r="AL98" s="183"/>
    </row>
  </sheetData>
  <mergeCells count="22">
    <mergeCell ref="AB1:AD1"/>
    <mergeCell ref="AE1:AE2"/>
    <mergeCell ref="AF1:AF2"/>
    <mergeCell ref="AG1:AL1"/>
    <mergeCell ref="V1:V2"/>
    <mergeCell ref="W1:W2"/>
    <mergeCell ref="X1:X2"/>
    <mergeCell ref="Y1:Y2"/>
    <mergeCell ref="Z1:Z2"/>
    <mergeCell ref="AA1:AA2"/>
    <mergeCell ref="U1:U2"/>
    <mergeCell ref="A1:A2"/>
    <mergeCell ref="B1:B2"/>
    <mergeCell ref="C1:C2"/>
    <mergeCell ref="D1:D2"/>
    <mergeCell ref="E1:E2"/>
    <mergeCell ref="F1:F2"/>
    <mergeCell ref="G1:G2"/>
    <mergeCell ref="H1:L1"/>
    <mergeCell ref="M1:R1"/>
    <mergeCell ref="S1:S2"/>
    <mergeCell ref="T1:T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Содержание</vt:lpstr>
      <vt:lpstr>Обзор</vt:lpstr>
      <vt:lpstr>Операционные результаты</vt:lpstr>
      <vt:lpstr>ОФР</vt:lpstr>
      <vt:lpstr>Балансовый отчет</vt:lpstr>
      <vt:lpstr>ОДДС</vt:lpstr>
      <vt:lpstr>Оценка активов 2024</vt:lpstr>
    </vt:vector>
  </TitlesOfParts>
  <Company>Etalon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Васильев Алексей Вячеславович</dc:creator>
  <cp:lastModifiedBy>Савинков Иван Валерьевич</cp:lastModifiedBy>
  <dcterms:created xsi:type="dcterms:W3CDTF">2021-08-12T14:59:22Z</dcterms:created>
  <dcterms:modified xsi:type="dcterms:W3CDTF">2025-10-14T08:13:56Z</dcterms:modified>
</cp:coreProperties>
</file>